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r:id="rId45"/>
    <sheet name="ИП" sheetId="45" r:id="rId46"/>
    <sheet name="ИП. Детализация" sheetId="46" r:id="rId47"/>
    <sheet name="ИП. Финансовый план" sheetId="47" state="hidden" r:id="rId48"/>
    <sheet name="ИП. КНЭ" sheetId="48"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ФХД'!$H$85:$L$85</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ФХД'!$86:$94</definedName>
    <definedName name="BLOCK_POK_FHD_COLDVSNA_P2">'Показатели ФХД'!$119:$123</definedName>
    <definedName name="BLOCK_POK_FHD_HEAT_P1">'Показатели ФХД'!$33:$40</definedName>
    <definedName name="BLOCK_POK_FHD_HEAT_P2">'Показатели ФХД'!$76:$76</definedName>
    <definedName name="BLOCK_POK_FHD_HEAT_P3">'Показатели ФХД'!$103:$115</definedName>
    <definedName name="BLOCK_POK_FHD_HEAT_P4">'Показатели ФХД'!$117:$117</definedName>
    <definedName name="BLOCK_POK_FHD_HEAT_P5">'Показатели ФХД'!$124:$134</definedName>
    <definedName name="BLOCK_POK_FHD_HEAT_P6">'Показатели ФХД'!$47:$47</definedName>
    <definedName name="BLOCK_POK_FHD_HOTVSNA_P1">'Показатели ФХД'!$41:$43</definedName>
    <definedName name="BLOCK_POK_FHD_HOTVSNA_P2">'Показатели ФХД'!$95:$99</definedName>
    <definedName name="BLOCK_POK_FHD_NOT_HEAT_P1">'Показатели ФХД'!$67:$68</definedName>
    <definedName name="BLOCK_POK_FHD_NOT_HEAT_P2">'Показатели ФХД'!$84:$84</definedName>
    <definedName name="BLOCK_POK_FHD_NOT_HOTVSNA">'Показатели ФХД'!$48:$48</definedName>
    <definedName name="BLOCK_POK_FHD_VOTV_P1">'Показатели ФХД'!$100:$102</definedName>
    <definedName name="BLOCK_POK_FHD_VSNA">'Показатели ФХД'!$118:$118</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Дифференциация!$I$12:$I$20</definedName>
    <definedName name="DIFFERENTIATION_AREA_ID">Дифференциация!$U$11:$U$21</definedName>
    <definedName name="DIFFERENTIATION_CheckC">Дифференциация!$D$12:$M$20</definedName>
    <definedName name="DIFFERENTIATION_fieldMarker">Дифференциация!$W$12:$W$20</definedName>
    <definedName name="DIFFERENTIATION_ID">TEHSHEET!$E$57</definedName>
    <definedName name="DIFFERENTIATION_ID_DIFF">Дифференциация!$O$12:$O$20</definedName>
    <definedName name="DIFFERENTIATION_SYSTEM">Дифференциация!$M$12:$M$20</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Дифференциация!$Q$12:$Q$20</definedName>
    <definedName name="DIFFERENTIATION_UNMERGE_SYSTEM">Дифференциация!$R$12:$R$20</definedName>
    <definedName name="DIFFERENTIATION_UNMERGE_VD">Дифференциация!$P$12:$P$20</definedName>
    <definedName name="DIFFERENTIATION_VD">Дифференциация!$E$12:$E$20</definedName>
    <definedName name="DIFFERENTIATION_VD_ID">Дифференциация!$V$11:$V$21</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Детализация'!$A$125:$A$125</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START_DATE">ИП!$N$11:$N$15</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Дифференциация!$G$12:$G$20</definedName>
    <definedName name="pDel_DIFFERENTIATION_SYSTEM">Дифференциация!$K$12:$K$20</definedName>
    <definedName name="pDel_DIFFERENTIATION_VD">Дифференциация!$C$12:$C$20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ФХД'!$F$75</definedName>
    <definedName name="pIns_B_FHD_3">'Показатели ФХД'!$F$105</definedName>
    <definedName name="pIns_B_FHD_4">'Показатели ФХД'!$F$123</definedName>
    <definedName name="pIns_B_FHD_5">'Показатели ФХД'!$F$126</definedName>
    <definedName name="pIns_B_FHD_6">'Показатели ФХД'!$F$129</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CHANGE_INFO">'Сведения об изменении'!$E$13</definedName>
    <definedName name="pIns_Comm">Комментарии!$E$12</definedName>
    <definedName name="pIns_ED">ЭД!$E$13</definedName>
    <definedName name="pIns_IP_DETAILED">'ИП. Детализация'!$F$125</definedName>
    <definedName name="pIns_IP_FIN_PLAN">'ИП. Финансовый план'!$R$8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Ограничения!$F$36:$O$36</definedName>
    <definedName name="Q_LIMIT_p4">Ограничения!$F$38:$O$38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Дифференциация!$F$12:$F$20</definedName>
    <definedName name="Y_N_DIFFERENTIATION_SYSTEM">Дифференциация!$J$12:$J$20</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et_union_hor!$103:$111</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_TKO_diff_66">'ТКО. Показатели ФХД'!$J$10:$J$12</definedName>
    <definedName name="B_FHD_TKO_TRANS_diff_66">'ТКО. Транс. Показатели ФХД'!$J$10:$J$12</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_TKO_diff_67">'ТКО. Показатели ФХД'!$K$10:$K$12</definedName>
    <definedName name="B_FHD_TKO_TRANS_diff_67">'ТКО. Транс. Показатели ФХД'!$K$10:$K$12</definedName>
    <definedName name="B_FHD20_diff_67">'Показатели ФХД &gt;20%'!$H$32:$R$34</definedName>
    <definedName name="B_KNE_diff_67">'Показатели КНЭ'!$M$7:$N$9</definedName>
    <definedName name="IP_MAIN_ip_44">ИП!#REF!</definedName>
    <definedName name="IP_QRE_ip_44">'ИП. КНЭ'!#REF!</definedName>
    <definedName name="IP_DETAILED_ip_44">'ИП. Детализация'!#REF!</definedName>
    <definedName name="IP_FIN_PLAN_ip_44">'ИП. Финансовый план'!#REF!</definedName>
    <definedName name="REESTR_IP_RANGE">REESTR_IP!$A$2:$D$24</definedName>
    <definedName name="IP_MAIN_ip_45">ИП!#REF!</definedName>
    <definedName name="IP_QRE_ip_45">'ИП. КНЭ'!#REF!</definedName>
    <definedName name="IP_DETAILED_ip_45">'ИП. Детализация'!#REF!</definedName>
    <definedName name="IP_FIN_PLAN_ip_45">'ИП. Финансовый план'!#REF!</definedName>
    <definedName name="IP_MAIN_ip_46">ИП!#REF!</definedName>
    <definedName name="IP_QRE_ip_46">'ИП. КНЭ'!#REF!</definedName>
    <definedName name="IP_DETAILED_ip_46">'ИП. Детализация'!#REF!</definedName>
    <definedName name="IP_FIN_PLAN_ip_46">'ИП. Финансовый план'!#REF!</definedName>
    <definedName name="IP_MAIN_ip_47">ИП!$13:$14</definedName>
    <definedName name="IP_QRE_ip_47">'ИП. КНЭ'!$21:$23</definedName>
    <definedName name="IP_DETAILED_ip_47">'ИП. Детализация'!$14:$124</definedName>
    <definedName name="IP_FIN_PLAN_ip_47">'ИП. Финансовый план'!$K$11:$Q$11</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<sst xmlns="http://schemas.openxmlformats.org/spreadsheetml/2006/main" count="14627" uniqueCount="3602">
  <si>
    <t xml:space="preserve"> (требуется обновление)</t>
  </si>
  <si>
    <t>Код отчёта: PP108.OPEN.INFO.BALANCE.VOTV.EIAS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</si>
  <si>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</si>
  <si>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</si>
  <si>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</si>
  <si>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</si>
  <si>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</si>
  <si>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</si>
  <si>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</si>
  <si>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</si>
  <si>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</si>
  <si>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</si>
  <si>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</si>
  <si>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</si>
  <si>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</si>
  <si>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</si>
  <si>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</si>
  <si>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</si>
  <si>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</si>
  <si>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</si>
  <si>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</si>
  <si>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</si>
  <si>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</si>
  <si>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</si>
  <si>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</si>
  <si>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</si>
  <si>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</si>
  <si>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</si>
  <si>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</si>
  <si>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</si>
  <si>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</si>
  <si>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</si>
  <si>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</si>
  <si>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</si>
  <si>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</si>
  <si>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</si>
  <si>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</si>
  <si>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</si>
  <si>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</si>
  <si>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</si>
  <si>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</si>
  <si>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</si>
  <si>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</si>
  <si>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</si>
  <si>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</si>
  <si>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</si>
  <si>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МУП "Уссурийск-Водоканал"</t>
  </si>
  <si>
    <t>Наименование (описание) обособленного подразделения</t>
  </si>
  <si>
    <t>ИНН</t>
  </si>
  <si>
    <t>2511040110</t>
  </si>
  <si>
    <t>КПП</t>
  </si>
  <si>
    <t>251101001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</si>
  <si>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</si>
  <si>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</si>
  <si>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</si>
  <si>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</si>
  <si>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</si>
  <si>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</si>
  <si>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</si>
  <si>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</si>
  <si>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</si>
  <si>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</si>
  <si>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</si>
  <si>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</si>
  <si>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</si>
  <si>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</si>
  <si>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</si>
  <si>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</si>
  <si>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</si>
  <si>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</si>
  <si>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</si>
  <si>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692511 Россия Приморский  край  г. Уссурийск, ул. Карбышева, 27</t>
  </si>
  <si>
    <t>Фамилия, имя, отчество руководителя</t>
  </si>
  <si>
    <t>Мутовин  Виталий  Евгеньевич</t>
  </si>
  <si>
    <t>Ответственный за заполнение формы</t>
  </si>
  <si>
    <t>Фамилия, имя, отчество</t>
  </si>
  <si>
    <t>Ворожбит  Ирина  Викторовна; Рогова  Елена  Анатольевна (инвестиции)</t>
  </si>
  <si>
    <t>Должность</t>
  </si>
  <si>
    <t>начальник  планово-экономического  отдела; начальник  производственного  отдела</t>
  </si>
  <si>
    <t>Контактный телефон</t>
  </si>
  <si>
    <t>8(4234)321033</t>
  </si>
  <si>
    <t>E-mail</t>
  </si>
  <si>
    <t>mail@ussuraqua.ru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</si>
  <si>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</si>
  <si>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</si>
  <si>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</si>
  <si>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</si>
  <si>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</si>
  <si>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</si>
  <si>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</si>
  <si>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</si>
  <si>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</si>
  <si>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</si>
  <si>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</si>
  <si>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</si>
  <si>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</si>
  <si>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</si>
  <si>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</si>
  <si>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</si>
  <si>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76</t>
  </si>
  <si>
    <t>Уссурийский городской округ</t>
  </si>
  <si>
    <t>05723000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</si>
  <si>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</si>
  <si>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</si>
  <si>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</si>
  <si>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</si>
  <si>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</si>
  <si>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</si>
  <si>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</si>
  <si>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</si>
  <si>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</si>
  <si>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</si>
  <si>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</si>
  <si>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</si>
  <si>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</si>
  <si>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</si>
  <si>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</si>
  <si>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Уссурийский  городской  округ</t>
  </si>
  <si>
    <t>diff_1</t>
  </si>
  <si>
    <t>4189714</t>
  </si>
  <si>
    <t>a</t>
  </si>
  <si>
    <t>×</t>
  </si>
  <si>
    <t>ООО " Промышленный  парк  Уссурийский " и  ООО                   "АльянсГрупп"</t>
  </si>
  <si>
    <t>diff_66</t>
  </si>
  <si>
    <t>Добавить централизованную систему</t>
  </si>
  <si>
    <t>Добавить описание территории</t>
  </si>
  <si>
    <t>diff_67</t>
  </si>
  <si>
    <t>4189712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</si>
  <si>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</si>
  <si>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</si>
  <si>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</si>
  <si>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</si>
  <si>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</si>
  <si>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</si>
  <si>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</si>
  <si>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</si>
  <si>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</si>
  <si>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</si>
  <si>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</si>
  <si>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</si>
  <si>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</si>
  <si>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</si>
  <si>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</si>
  <si>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</si>
  <si>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</si>
  <si>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</si>
  <si>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</si>
  <si>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</si>
  <si>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</si>
  <si>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</si>
  <si>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</si>
  <si>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</si>
  <si>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</si>
  <si>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</si>
  <si>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</si>
  <si>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</si>
  <si>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</si>
  <si>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</si>
  <si>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</si>
  <si>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</si>
  <si>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</si>
  <si>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</si>
  <si>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</si>
  <si>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</si>
  <si>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</si>
  <si>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</si>
  <si>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</si>
  <si>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</si>
  <si>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</si>
  <si>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</si>
  <si>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</si>
  <si>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</si>
  <si>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</si>
  <si>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</si>
  <si>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</si>
  <si>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</si>
  <si>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</si>
  <si>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</si>
  <si>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</si>
  <si>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</si>
  <si>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</si>
  <si>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</si>
  <si>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</si>
  <si>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</si>
  <si>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</si>
  <si>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</si>
  <si>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</si>
  <si>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</si>
  <si>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</si>
  <si>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</si>
  <si>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</si>
  <si>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</si>
  <si>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</si>
  <si>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</si>
  <si>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</si>
  <si>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</si>
  <si>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</si>
  <si>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</si>
  <si>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</si>
  <si>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</si>
  <si>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</si>
  <si>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</si>
  <si>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</si>
  <si>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</si>
  <si>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</si>
  <si>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</si>
  <si>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</si>
  <si>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</si>
  <si>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</si>
  <si>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</si>
  <si>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</si>
  <si>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</si>
  <si>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</si>
  <si>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</si>
  <si>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</si>
  <si>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</si>
  <si>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</si>
  <si>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</si>
  <si>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</si>
  <si>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</si>
  <si>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</si>
  <si>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</si>
  <si>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</si>
  <si>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</si>
  <si>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</si>
  <si>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</si>
  <si>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</si>
  <si>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</si>
  <si>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</si>
  <si>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</si>
  <si>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</si>
  <si>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</si>
  <si>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</si>
  <si>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</si>
  <si>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</si>
  <si>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</si>
  <si>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</si>
  <si>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</si>
  <si>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</si>
  <si>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</si>
  <si>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</si>
  <si>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</si>
  <si>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</si>
  <si>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</si>
  <si>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</si>
  <si>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</si>
  <si>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</si>
  <si>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</si>
  <si>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</si>
  <si>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</si>
  <si>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</si>
  <si>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</si>
  <si>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</si>
  <si>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</si>
  <si>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</si>
  <si>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</si>
  <si>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</si>
  <si>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</si>
  <si>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</si>
  <si>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</si>
  <si>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</si>
  <si>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</si>
  <si>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</si>
  <si>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</si>
  <si>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</si>
  <si>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</si>
  <si>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</si>
  <si>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</si>
  <si>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</si>
  <si>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</si>
  <si>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</si>
  <si>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</si>
  <si>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</si>
  <si>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</si>
  <si>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</si>
  <si>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</si>
  <si>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</si>
  <si>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</si>
  <si>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</si>
  <si>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</si>
  <si>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</si>
  <si>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</si>
  <si>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</si>
  <si>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</si>
  <si>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</si>
  <si>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</si>
  <si>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</si>
  <si>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</si>
  <si>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</si>
  <si>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</si>
  <si>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</si>
  <si>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</si>
  <si>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</si>
  <si>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</si>
  <si>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</si>
  <si>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</si>
  <si>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</si>
  <si>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</si>
  <si>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</si>
  <si>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</si>
  <si>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</si>
  <si>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</si>
  <si>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</si>
  <si>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</si>
  <si>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</si>
  <si>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</si>
  <si>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</si>
  <si>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</si>
  <si>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</si>
  <si>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</si>
  <si>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</si>
  <si>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</si>
  <si>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</si>
  <si>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</si>
  <si>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</si>
  <si>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</si>
  <si>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</si>
  <si>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</si>
  <si>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</si>
  <si>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</si>
  <si>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</si>
  <si>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</si>
  <si>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</si>
  <si>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</si>
  <si>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</si>
  <si>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</si>
  <si>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</si>
  <si>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</si>
  <si>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</si>
  <si>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</si>
  <si>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</si>
  <si>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</si>
  <si>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</si>
  <si>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</si>
  <si>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</si>
  <si>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</si>
  <si>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</si>
  <si>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</si>
  <si>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</si>
  <si>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</si>
  <si>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</si>
  <si>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</si>
  <si>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</si>
  <si>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</si>
  <si>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</si>
  <si>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</si>
  <si>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</si>
  <si>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</si>
  <si>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</si>
  <si>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</si>
  <si>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</si>
  <si>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</si>
  <si>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</si>
  <si>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</si>
  <si>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</si>
  <si>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</si>
  <si>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</si>
  <si>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</si>
  <si>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</si>
  <si>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</si>
  <si>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</si>
  <si>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</si>
  <si>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</si>
  <si>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</si>
  <si>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</si>
  <si>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</si>
  <si>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</si>
  <si>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</si>
  <si>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</si>
  <si>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</si>
  <si>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</si>
  <si>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</si>
  <si>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</si>
  <si>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</si>
  <si>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</si>
  <si>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</si>
  <si>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</si>
  <si>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</si>
  <si>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</si>
  <si>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</si>
  <si>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</si>
  <si>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</si>
  <si>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</si>
  <si>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</si>
  <si>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</si>
  <si>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</si>
  <si>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</si>
  <si>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</si>
  <si>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</si>
  <si>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</si>
  <si>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</si>
  <si>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</si>
  <si>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</si>
  <si>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</si>
  <si>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</si>
  <si>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</si>
  <si>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</si>
  <si>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</si>
  <si>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</si>
  <si>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</si>
  <si>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</si>
  <si>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</si>
  <si>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</si>
  <si>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</si>
  <si>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</si>
  <si>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</si>
  <si>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</si>
  <si>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</si>
  <si>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</si>
  <si>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</si>
  <si>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</si>
  <si>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</si>
  <si>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</si>
  <si>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</si>
  <si>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</si>
  <si>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</si>
  <si>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</si>
  <si>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</si>
  <si>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</si>
  <si>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</si>
  <si>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</si>
  <si>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</si>
  <si>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</si>
  <si>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</si>
  <si>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</si>
  <si>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</si>
  <si>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</si>
  <si>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</si>
  <si>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</si>
  <si>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</si>
  <si>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</si>
  <si>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</si>
  <si>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</si>
  <si>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</si>
  <si>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</si>
  <si>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</si>
  <si>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</si>
  <si>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</si>
  <si>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</si>
  <si>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</si>
  <si>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</si>
  <si>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</si>
  <si>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</si>
  <si>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</si>
  <si>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</si>
  <si>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</si>
  <si>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</si>
  <si>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</si>
  <si>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</si>
  <si>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</si>
  <si>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</si>
  <si>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</si>
  <si>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</si>
  <si>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</si>
  <si>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</si>
  <si>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</si>
  <si>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</si>
  <si>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</si>
  <si>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</si>
  <si>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</si>
  <si>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</si>
  <si>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</si>
  <si>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</si>
  <si>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</si>
  <si>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</si>
  <si>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</si>
  <si>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</si>
  <si>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</si>
  <si>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</si>
  <si>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</si>
  <si>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</si>
  <si>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</si>
  <si>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</si>
  <si>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</si>
  <si>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</si>
  <si>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</si>
  <si>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</si>
  <si>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</si>
  <si>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</si>
  <si>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</si>
  <si>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</si>
  <si>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</si>
  <si>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</si>
  <si>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</si>
  <si>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</si>
  <si>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</si>
  <si>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</si>
  <si>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</si>
  <si>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</si>
  <si>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</si>
  <si>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</si>
  <si>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</si>
  <si>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</si>
  <si>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</si>
  <si>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</si>
  <si>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</si>
  <si>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</si>
  <si>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</si>
  <si>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</si>
  <si>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</si>
  <si>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</si>
  <si>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</si>
  <si>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</si>
  <si>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</si>
  <si>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</si>
  <si>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</si>
  <si>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</si>
  <si>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</si>
  <si>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</si>
  <si>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</si>
  <si>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</si>
  <si>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</si>
  <si>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</si>
  <si>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</si>
  <si>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</si>
  <si>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</si>
  <si>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</si>
  <si>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</si>
  <si>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</si>
  <si>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</si>
  <si>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</si>
  <si>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</si>
  <si>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</si>
  <si>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</si>
  <si>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</si>
  <si>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</si>
  <si>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</si>
  <si>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</si>
  <si>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</si>
  <si>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</si>
  <si>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</si>
  <si>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</si>
  <si>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</si>
  <si>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</si>
  <si>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</si>
  <si>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</si>
  <si>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</si>
  <si>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</si>
  <si>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</si>
  <si>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</si>
  <si>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</si>
  <si>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</si>
  <si>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</si>
  <si>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</si>
  <si>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</si>
  <si>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</si>
  <si>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</si>
  <si>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</si>
  <si>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</si>
  <si>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</si>
  <si>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</si>
  <si>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</si>
  <si>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</si>
  <si>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</si>
  <si>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</si>
  <si>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</si>
  <si>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</si>
  <si>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</si>
  <si>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</si>
  <si>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</si>
  <si>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</si>
  <si>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</si>
  <si>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</si>
  <si>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</si>
  <si>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</si>
  <si>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</si>
  <si>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</si>
  <si>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</si>
  <si>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</si>
  <si>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</si>
  <si>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</si>
  <si>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</si>
  <si>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</si>
  <si>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</si>
  <si>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</si>
  <si>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</si>
  <si>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</si>
  <si>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</si>
  <si>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</si>
  <si>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</si>
  <si>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</si>
  <si>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</si>
  <si>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</si>
  <si>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</si>
  <si>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</si>
  <si>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</si>
  <si>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</si>
  <si>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</si>
  <si>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</si>
  <si>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</si>
  <si>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</si>
  <si>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</si>
  <si>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</si>
  <si>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</si>
  <si>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</si>
  <si>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</si>
  <si>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</si>
  <si>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</si>
  <si>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</si>
  <si>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</si>
  <si>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</si>
  <si>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</si>
  <si>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</si>
  <si>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</si>
  <si>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</si>
  <si>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</si>
  <si>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</si>
  <si>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</si>
  <si>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</si>
  <si>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</si>
  <si>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</si>
  <si>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</si>
  <si>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</si>
  <si>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</si>
  <si>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</si>
  <si>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</si>
  <si>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</si>
  <si>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</si>
  <si>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</si>
  <si>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</si>
  <si>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</si>
  <si>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</si>
  <si>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</si>
  <si>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</si>
  <si>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</si>
  <si>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</si>
  <si>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</si>
  <si>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</si>
  <si>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</si>
  <si>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</si>
  <si>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</si>
  <si>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</si>
  <si>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</si>
  <si>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</si>
  <si>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</si>
  <si>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</si>
  <si>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</si>
  <si>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</si>
  <si>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</si>
  <si>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</si>
  <si>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</si>
  <si>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</si>
  <si>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</si>
  <si>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</si>
  <si>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</si>
  <si>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</si>
  <si>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</si>
  <si>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</si>
  <si>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</si>
  <si>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</si>
  <si>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</si>
  <si>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</si>
  <si>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</si>
  <si>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</si>
  <si>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</si>
  <si>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</si>
  <si>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</si>
  <si>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</si>
  <si>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</si>
  <si>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</si>
  <si>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</si>
  <si>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</si>
  <si>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</si>
  <si>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</si>
  <si>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</si>
  <si>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</si>
  <si>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</si>
  <si>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</si>
  <si>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</si>
  <si>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</si>
  <si>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</si>
  <si>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</si>
  <si>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</si>
  <si>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</si>
  <si>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</si>
  <si>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</si>
  <si>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</si>
  <si>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</si>
  <si>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</si>
  <si>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</si>
  <si>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</si>
  <si>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</si>
  <si>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</si>
  <si>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</si>
  <si>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</si>
  <si>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</si>
  <si>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</si>
  <si>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</si>
  <si>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</si>
  <si>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</si>
  <si>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</si>
  <si>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</si>
  <si>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</si>
  <si>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</si>
  <si>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</si>
  <si>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</si>
  <si>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</si>
  <si>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</si>
  <si>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</si>
  <si>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</si>
  <si>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</si>
  <si>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</si>
  <si>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</si>
  <si>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</si>
  <si>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</si>
  <si>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</si>
  <si>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</si>
  <si>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</si>
  <si>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</si>
  <si>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</si>
  <si>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</si>
  <si>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</si>
  <si>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</si>
  <si>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</si>
  <si>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</si>
  <si>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</si>
  <si>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</si>
  <si>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</si>
  <si>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</si>
  <si>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</si>
  <si>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</si>
  <si>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</si>
  <si>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</si>
  <si>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</si>
  <si>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</si>
  <si>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</si>
  <si>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</si>
  <si>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</si>
  <si>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</si>
  <si>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</si>
  <si>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</si>
  <si>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</si>
  <si>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</si>
  <si>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</si>
  <si>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</si>
  <si>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</si>
  <si>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</si>
  <si>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</si>
  <si>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</si>
  <si>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</si>
  <si>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</si>
  <si>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</si>
  <si>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</si>
  <si>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</si>
  <si>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</si>
  <si>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</si>
  <si>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</si>
  <si>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</si>
  <si>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</si>
  <si>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</si>
  <si>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</si>
  <si>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</si>
  <si>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</si>
  <si>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</si>
  <si>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</si>
  <si>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</si>
  <si>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</si>
  <si>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</si>
  <si>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</si>
  <si>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</si>
  <si>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</si>
  <si>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</si>
  <si>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</si>
  <si>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</si>
  <si>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</si>
  <si>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</si>
  <si>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</si>
  <si>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</si>
  <si>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</si>
  <si>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</si>
  <si>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</si>
  <si>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</si>
  <si>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</si>
  <si>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</si>
  <si>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</si>
  <si>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</si>
  <si>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</si>
  <si>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</si>
  <si>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</si>
  <si>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</si>
  <si>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</si>
  <si>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</si>
  <si>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</si>
  <si>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</si>
  <si>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</si>
  <si>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</si>
  <si>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</si>
  <si>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</si>
  <si>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</si>
  <si>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</si>
  <si>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</si>
  <si>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</si>
  <si>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</si>
  <si>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</si>
  <si>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</si>
  <si>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</si>
  <si>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</si>
  <si>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</si>
  <si>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</si>
  <si>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</si>
  <si>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</si>
  <si>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</si>
  <si>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</si>
  <si>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</si>
  <si>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</si>
  <si>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</si>
  <si>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</si>
  <si>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</si>
  <si>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</si>
  <si>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</si>
  <si>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</si>
  <si>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</si>
  <si>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</si>
  <si>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</si>
  <si>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</si>
  <si>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</si>
  <si>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</si>
  <si>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</si>
  <si>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</si>
  <si>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</si>
  <si>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</si>
  <si>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</si>
  <si>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</si>
  <si>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</si>
  <si>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</si>
  <si>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</si>
  <si>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</si>
  <si>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</si>
  <si>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</si>
  <si>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</si>
  <si>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</si>
  <si>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</si>
  <si>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</si>
  <si>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</si>
  <si>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</si>
  <si>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</si>
  <si>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</si>
  <si>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</si>
  <si>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</si>
  <si>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</si>
  <si>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</si>
  <si>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</si>
  <si>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</si>
  <si>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</si>
  <si>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</si>
  <si>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</si>
  <si>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</si>
  <si>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</si>
  <si>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</si>
  <si>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</si>
  <si>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</si>
  <si>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</si>
  <si>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</si>
  <si>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</si>
  <si>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</si>
  <si>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</si>
  <si>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</si>
  <si>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</si>
  <si>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</si>
  <si>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</si>
  <si>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</si>
  <si>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</si>
  <si>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</si>
  <si>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</si>
  <si>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</si>
  <si>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</si>
  <si>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</si>
  <si>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</si>
  <si>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</si>
  <si>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</si>
  <si>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</si>
  <si>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</si>
  <si>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</si>
  <si>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</si>
  <si>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</si>
  <si>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</si>
  <si>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</si>
  <si>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</si>
  <si>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</si>
  <si>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</si>
  <si>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</si>
  <si>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</si>
  <si>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</si>
  <si>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</si>
  <si>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</si>
  <si>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</si>
  <si>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</si>
  <si>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</si>
  <si>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</si>
  <si>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</si>
  <si>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</si>
  <si>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</si>
  <si>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</si>
  <si>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</si>
  <si>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</si>
  <si>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</si>
  <si>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</si>
  <si>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</si>
  <si>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</si>
  <si>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</si>
  <si>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</si>
  <si>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</si>
  <si>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</si>
  <si>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</si>
  <si>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</si>
  <si>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</si>
  <si>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</si>
  <si>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</si>
  <si>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</si>
  <si>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</si>
  <si>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</si>
  <si>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</si>
  <si>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</si>
  <si>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</si>
  <si>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</si>
  <si>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</si>
  <si>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</si>
  <si>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</si>
  <si>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</si>
  <si>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</si>
  <si>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</si>
  <si>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</si>
  <si>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</si>
  <si>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</si>
  <si>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</si>
  <si>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</si>
  <si>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</si>
  <si>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</si>
  <si>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</si>
  <si>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</si>
  <si>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</si>
  <si>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</si>
  <si>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</si>
  <si>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</si>
  <si>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</si>
  <si>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</si>
  <si>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</si>
  <si>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</si>
  <si>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</si>
  <si>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</si>
  <si>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</si>
  <si>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</si>
  <si>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</si>
  <si>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</si>
  <si>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</si>
  <si>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</si>
  <si>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</si>
  <si>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</si>
  <si>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</si>
  <si>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</si>
  <si>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</si>
  <si>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</si>
  <si>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</si>
  <si>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</si>
  <si>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</si>
  <si>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</si>
  <si>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</si>
  <si>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</si>
  <si>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</si>
  <si>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</si>
  <si>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</si>
  <si>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</si>
  <si>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</si>
  <si>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</si>
  <si>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</si>
  <si>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</si>
  <si>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</si>
  <si>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</si>
  <si>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</si>
  <si>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</si>
  <si>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</si>
  <si>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</si>
  <si>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</si>
  <si>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</si>
  <si>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</si>
  <si>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</si>
  <si>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</si>
  <si>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</si>
  <si>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</si>
  <si>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</si>
  <si>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</si>
  <si>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</si>
  <si>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</si>
  <si>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</si>
  <si>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</si>
  <si>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</si>
  <si>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</si>
  <si>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</si>
  <si>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</si>
  <si>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</si>
  <si>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</si>
  <si>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</si>
  <si>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</si>
  <si>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</si>
  <si>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</si>
  <si>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</si>
  <si>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</si>
  <si>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</si>
  <si>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</si>
  <si>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</si>
  <si>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</si>
  <si>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</si>
  <si>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</si>
  <si>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</si>
  <si>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</si>
  <si>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</si>
  <si>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</si>
  <si>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</si>
  <si>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</si>
  <si>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</si>
  <si>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</si>
  <si>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</si>
  <si>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</si>
  <si>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</si>
  <si>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</si>
  <si>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</si>
  <si>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</si>
  <si>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</si>
  <si>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</si>
  <si>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</si>
  <si>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</si>
  <si>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</si>
  <si>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</si>
  <si>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</si>
  <si>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</si>
  <si>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</si>
  <si>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</si>
  <si>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</si>
  <si>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</si>
  <si>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</si>
  <si>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</si>
  <si>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</si>
  <si>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</si>
  <si>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</si>
  <si>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</si>
  <si>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</si>
  <si>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</si>
  <si>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</si>
  <si>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</si>
  <si>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</si>
  <si>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</si>
  <si>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</si>
  <si>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</si>
  <si>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</si>
  <si>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</si>
  <si>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</si>
  <si>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</si>
  <si>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</si>
  <si>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</si>
  <si>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</si>
  <si>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</si>
  <si>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</si>
  <si>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</si>
  <si>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</si>
  <si>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</si>
  <si>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</si>
  <si>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</si>
  <si>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</si>
  <si>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</si>
  <si>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</si>
  <si>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</si>
  <si>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</si>
  <si>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</si>
  <si>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</si>
  <si>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</si>
  <si>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</si>
  <si>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</si>
  <si>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</si>
  <si>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</si>
  <si>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</si>
  <si>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</si>
  <si>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</si>
  <si>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</si>
  <si>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</si>
  <si>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</si>
  <si>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</si>
  <si>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</si>
  <si>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</si>
  <si>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</si>
  <si>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</si>
  <si>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</si>
  <si>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</si>
  <si>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</si>
  <si>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</si>
  <si>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</si>
  <si>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</si>
  <si>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</si>
  <si>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</si>
  <si>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</si>
  <si>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</si>
  <si>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</si>
  <si>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</si>
  <si>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</si>
  <si>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</si>
  <si>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</si>
  <si>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</si>
  <si>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</si>
  <si>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</si>
  <si>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</si>
  <si>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</si>
  <si>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</si>
  <si>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</si>
  <si>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</si>
  <si>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</si>
  <si>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</si>
  <si>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</si>
  <si>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</si>
  <si>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</si>
  <si>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</si>
  <si>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</si>
  <si>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</si>
  <si>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</si>
  <si>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</si>
  <si>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</si>
  <si>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</si>
  <si>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</si>
  <si>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</si>
  <si>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</si>
  <si>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</si>
  <si>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</si>
  <si>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</si>
  <si>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</si>
  <si>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</si>
  <si>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</si>
  <si>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</si>
  <si>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</si>
  <si>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</si>
  <si>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</si>
  <si>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</si>
  <si>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</si>
  <si>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</si>
  <si>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</si>
  <si>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</si>
  <si>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</si>
  <si>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</si>
  <si>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</si>
  <si>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</si>
  <si>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</si>
  <si>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</si>
  <si>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</si>
  <si>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</si>
  <si>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</si>
  <si>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</si>
  <si>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</si>
  <si>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</si>
  <si>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</si>
  <si>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</si>
  <si>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</si>
  <si>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</si>
  <si>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</si>
  <si>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</si>
  <si>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</si>
  <si>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</si>
  <si>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</si>
  <si>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</si>
  <si>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</si>
  <si>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</si>
  <si>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</si>
  <si>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</si>
  <si>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</si>
  <si>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</si>
  <si>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</si>
  <si>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</si>
  <si>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</si>
  <si>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</si>
  <si>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</si>
  <si>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</si>
  <si>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</si>
  <si>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</si>
  <si>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</si>
  <si>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</si>
  <si>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</si>
  <si>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</si>
  <si>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</si>
  <si>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</si>
  <si>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</si>
  <si>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</si>
  <si>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</si>
  <si>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</si>
  <si>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</si>
  <si>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</si>
  <si>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</si>
  <si>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</si>
  <si>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</si>
  <si>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</si>
  <si>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</si>
  <si>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</si>
  <si>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</si>
  <si>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</si>
  <si>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</si>
  <si>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</si>
  <si>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</si>
  <si>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</si>
  <si>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</si>
  <si>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</si>
  <si>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</si>
  <si>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</si>
  <si>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</si>
  <si>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</si>
  <si>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</si>
  <si>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</si>
  <si>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</si>
  <si>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</si>
  <si>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</si>
  <si>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</si>
  <si>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</si>
  <si>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</si>
  <si>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</si>
  <si>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</si>
  <si>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</si>
  <si>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</si>
  <si>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</si>
  <si>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</si>
  <si>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</si>
  <si>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</si>
  <si>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</si>
  <si>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</si>
  <si>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</si>
  <si>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</si>
  <si>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</si>
  <si>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</si>
  <si>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</si>
  <si>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</si>
  <si>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</si>
  <si>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</si>
  <si>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</si>
  <si>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</si>
  <si>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</si>
  <si>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</si>
  <si>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</si>
  <si>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</si>
  <si>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</si>
  <si>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</si>
  <si>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</si>
  <si>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</si>
  <si>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</si>
  <si>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</si>
  <si>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</si>
  <si>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</si>
  <si>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</si>
  <si>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</si>
  <si>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</si>
  <si>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</si>
  <si>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</si>
  <si>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</si>
  <si>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</si>
  <si>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</si>
  <si>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</si>
  <si>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</si>
  <si>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</si>
  <si>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</si>
  <si>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</si>
  <si>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</si>
  <si>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</si>
  <si>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</si>
  <si>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</si>
  <si>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</si>
  <si>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</si>
  <si>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</si>
  <si>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</si>
  <si>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</si>
  <si>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</si>
  <si>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</si>
  <si>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</si>
  <si>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</si>
  <si>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</si>
  <si>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</si>
  <si>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</si>
  <si>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</si>
  <si>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</si>
  <si>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</si>
  <si>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</si>
  <si>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</si>
  <si>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</si>
  <si>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</si>
  <si>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</si>
  <si>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</si>
  <si>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</si>
  <si>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</si>
  <si>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</si>
  <si>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</si>
  <si>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</si>
  <si>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</si>
  <si>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</si>
  <si>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</si>
  <si>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</si>
  <si>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</si>
  <si>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</si>
  <si>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</si>
  <si>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</si>
  <si>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</si>
  <si>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</si>
  <si>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</si>
  <si>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</si>
  <si>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</si>
  <si>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</si>
  <si>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</si>
  <si>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</si>
  <si>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</si>
  <si>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</si>
  <si>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</si>
  <si>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</si>
  <si>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</si>
  <si>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</si>
  <si>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</si>
  <si>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</si>
  <si>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</si>
  <si>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</si>
  <si>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</si>
  <si>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</si>
  <si>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</si>
  <si>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</si>
  <si>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</si>
  <si>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</si>
  <si>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</si>
  <si>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</si>
  <si>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</si>
  <si>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</si>
  <si>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</si>
  <si>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</si>
  <si>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</si>
  <si>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</si>
  <si>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</si>
  <si>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</si>
  <si>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</si>
  <si>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</si>
  <si>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</si>
  <si>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</si>
  <si>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</si>
  <si>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</si>
  <si>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</si>
  <si>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</si>
  <si>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</si>
  <si>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</si>
  <si>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</si>
  <si>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</si>
  <si>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</si>
  <si>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</si>
  <si>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</si>
  <si>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</si>
  <si>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</si>
  <si>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</si>
  <si>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</si>
  <si>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</si>
  <si>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</si>
  <si>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</si>
  <si>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</si>
  <si>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</si>
  <si>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</si>
  <si>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</si>
  <si>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</si>
  <si>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</si>
  <si>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</si>
  <si>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</si>
  <si>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</si>
  <si>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</si>
  <si>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</si>
  <si>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</si>
  <si>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</si>
  <si>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</si>
  <si>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</si>
  <si>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</si>
  <si>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</si>
  <si>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</si>
  <si>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</si>
  <si>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</si>
  <si>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</si>
  <si>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</si>
  <si>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</si>
  <si>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</si>
  <si>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</si>
  <si>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</si>
  <si>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</si>
  <si>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</si>
  <si>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</si>
  <si>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</si>
  <si>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</si>
  <si>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</si>
  <si>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</si>
  <si>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</si>
  <si>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</si>
  <si>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</si>
  <si>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</si>
  <si>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</si>
  <si>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</si>
  <si>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</si>
  <si>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</si>
  <si>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</si>
  <si>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</si>
  <si>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</si>
  <si>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</si>
  <si>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</si>
  <si>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</si>
  <si>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</si>
  <si>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</si>
  <si>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</si>
  <si>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</si>
  <si>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</si>
  <si>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</si>
  <si>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</si>
  <si>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</si>
  <si>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</si>
  <si>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</si>
  <si>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</si>
  <si>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</si>
  <si>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</si>
  <si>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</si>
  <si>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</si>
  <si>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</si>
  <si>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</si>
  <si>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</si>
  <si>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</si>
  <si>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</si>
  <si>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</si>
  <si>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</si>
  <si>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</si>
  <si>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</si>
  <si>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</si>
  <si>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</si>
  <si>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</si>
  <si>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</si>
  <si>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</si>
  <si>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</si>
  <si>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</si>
  <si>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</si>
  <si>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</si>
  <si>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</si>
  <si>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</si>
  <si>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</si>
  <si>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</si>
  <si>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</si>
  <si>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</si>
  <si>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</si>
  <si>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</si>
  <si>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</si>
  <si>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</si>
  <si>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</si>
  <si>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</si>
  <si>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</si>
  <si>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</si>
  <si>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</si>
  <si>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</si>
  <si>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</si>
  <si>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</si>
  <si>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</si>
  <si>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</si>
  <si>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</si>
  <si>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</si>
  <si>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</si>
  <si>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</si>
  <si>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</si>
  <si>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</si>
  <si>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</si>
  <si>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</si>
  <si>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</si>
  <si>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</si>
  <si>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</si>
  <si>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</si>
  <si>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</si>
  <si>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</si>
  <si>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</si>
  <si>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</si>
  <si>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</si>
  <si>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</si>
  <si>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</si>
  <si>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</si>
  <si>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</si>
  <si>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</si>
  <si>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</si>
  <si>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</si>
  <si>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</si>
  <si>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</si>
  <si>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</si>
  <si>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</si>
  <si>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</si>
  <si>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</si>
  <si>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</si>
  <si>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</si>
  <si>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</si>
  <si>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</si>
  <si>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</si>
  <si>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</si>
  <si>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</si>
  <si>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</si>
  <si>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</si>
  <si>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</si>
  <si>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</si>
  <si>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</si>
  <si>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</si>
  <si>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</si>
  <si>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</si>
  <si>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</si>
  <si>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</si>
  <si>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</si>
  <si>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</si>
  <si>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</si>
  <si>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</si>
  <si>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</si>
  <si>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</si>
  <si>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</si>
  <si>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</si>
  <si>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</si>
  <si>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</si>
  <si>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</si>
  <si>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</si>
  <si>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</si>
  <si>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</si>
  <si>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</si>
  <si>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</si>
  <si>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</si>
  <si>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</si>
  <si>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</si>
  <si>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</si>
  <si>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</si>
  <si>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</si>
  <si>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</si>
  <si>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</si>
  <si>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</si>
  <si>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</si>
  <si>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</si>
  <si>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</si>
  <si>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</si>
  <si>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</si>
  <si>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</si>
  <si>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</si>
  <si>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</si>
  <si>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</si>
  <si>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</si>
  <si>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</si>
  <si>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</si>
  <si>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</si>
  <si>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</si>
  <si>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</si>
  <si>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</si>
  <si>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</si>
  <si>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</si>
  <si>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</si>
  <si>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</si>
  <si>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</si>
  <si>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</si>
  <si>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</si>
  <si>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</si>
  <si>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</si>
  <si>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</si>
  <si>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</si>
  <si>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</si>
  <si>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</si>
  <si>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</si>
  <si>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</si>
  <si>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</si>
  <si>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</si>
  <si>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</si>
  <si>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</si>
  <si>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</si>
  <si>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</si>
  <si>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</si>
  <si>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</si>
  <si>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</si>
  <si>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</si>
  <si>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</si>
  <si>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</si>
  <si>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</si>
  <si>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</si>
  <si>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</si>
  <si>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</si>
  <si>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</si>
  <si>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</si>
  <si>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</si>
  <si>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</si>
  <si>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</si>
  <si>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</si>
  <si>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</si>
  <si>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</si>
  <si>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</si>
  <si>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</si>
  <si>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</si>
  <si>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</si>
  <si>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</si>
  <si>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</si>
  <si>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</si>
  <si>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</si>
  <si>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</si>
  <si>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</si>
  <si>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</si>
  <si>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</si>
  <si>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</si>
  <si>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</si>
  <si>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</si>
  <si>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</si>
  <si>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</si>
  <si>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</si>
  <si>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</si>
  <si>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</si>
  <si>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</si>
  <si>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</si>
  <si>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</si>
  <si>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</si>
  <si>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</si>
  <si>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</si>
  <si>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</si>
  <si>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</si>
  <si>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</si>
  <si>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</si>
  <si>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</si>
  <si>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</si>
  <si>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</si>
  <si>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</si>
  <si>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</si>
  <si>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</si>
  <si>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</si>
  <si>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</si>
  <si>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</si>
  <si>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</si>
  <si>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</si>
  <si>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</si>
  <si>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</si>
  <si>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</si>
  <si>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</si>
  <si>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</si>
  <si>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</si>
  <si>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</si>
  <si>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</si>
  <si>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</si>
  <si>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</si>
  <si>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</si>
  <si>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</si>
  <si>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</si>
  <si>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</si>
  <si>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</si>
  <si>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</si>
  <si>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</si>
  <si>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</si>
  <si>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</si>
  <si>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</si>
  <si>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</si>
  <si>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</si>
  <si>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</si>
  <si>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</si>
  <si>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</si>
  <si>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</si>
  <si>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</si>
  <si>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</si>
  <si>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</si>
  <si>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</si>
  <si>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</si>
  <si>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</si>
  <si>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</si>
  <si>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</si>
  <si>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</si>
  <si>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</si>
  <si>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</si>
  <si>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</si>
  <si>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</si>
  <si>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</si>
  <si>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</si>
  <si>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</si>
  <si>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</si>
  <si>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</si>
  <si>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</si>
  <si>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</si>
  <si>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</si>
  <si>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</si>
  <si>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</si>
  <si>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</si>
  <si>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</si>
  <si>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</si>
  <si>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</si>
  <si>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</si>
  <si>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</si>
  <si>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</si>
  <si>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</si>
  <si>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</si>
  <si>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</si>
  <si>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</si>
  <si>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</si>
  <si>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</si>
  <si>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</si>
  <si>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</si>
  <si>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</si>
  <si>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</si>
  <si>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</si>
  <si>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</si>
  <si>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</si>
  <si>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</si>
  <si>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</si>
  <si>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</si>
  <si>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</si>
  <si>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</si>
  <si>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</si>
  <si>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</si>
  <si>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</si>
  <si>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</si>
  <si>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</si>
  <si>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</si>
  <si>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</si>
  <si>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</si>
  <si>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</si>
  <si>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</si>
  <si>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</si>
  <si>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</si>
  <si>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</si>
  <si>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</si>
  <si>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</si>
  <si>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</si>
  <si>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</si>
  <si>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</si>
  <si>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</si>
  <si>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</si>
  <si>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</si>
  <si>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</si>
  <si>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</si>
  <si>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</si>
  <si>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</si>
  <si>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</si>
  <si>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</si>
  <si>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общая стоимость</t>
  </si>
  <si>
    <t>объём</t>
  </si>
  <si>
    <t>стоимость за единицу объёма</t>
  </si>
  <si>
    <t>тыс. руб.</t>
  </si>
  <si>
    <t>стоимость доставки</t>
  </si>
  <si>
    <t>способ приобретения</t>
  </si>
  <si>
    <t>кг у. т./Гкал</t>
  </si>
  <si>
    <t>кг усл. топл./Гкал</t>
  </si>
  <si>
    <t>p</t>
  </si>
  <si>
    <t>HEAT_P1</t>
  </si>
  <si>
    <t>Добавить вид топлива</t>
  </si>
  <si>
    <t>HOTVSNA_P1</t>
  </si>
  <si>
    <t>тыс. кВт·ч</t>
  </si>
  <si>
    <t>HEAT_P6</t>
  </si>
  <si>
    <t>NOT_HOTVSNA</t>
  </si>
  <si>
    <t>NOT_HEAT_P1</t>
  </si>
  <si>
    <t>налоги</t>
  </si>
  <si>
    <t>транспортировка ( транзит)</t>
  </si>
  <si>
    <t>материалы</t>
  </si>
  <si>
    <t>Добавить прочие расходы</t>
  </si>
  <si>
    <t>HEAT_P2</t>
  </si>
  <si>
    <t>NOT_HEAT_P2</t>
  </si>
  <si>
    <t>https://portal.eias.ru/Portal/DownloadPage.aspx?type=12&amp;guid=f5113c99-0dd4-4a95-afa2-956b0178a9fc</t>
  </si>
  <si>
    <t>COLDVSNA_P1</t>
  </si>
  <si>
    <t>тыс. куб. м</t>
  </si>
  <si>
    <t>HOTVSNA_P2</t>
  </si>
  <si>
    <t>VOTV_P1</t>
  </si>
  <si>
    <t>HEAT_P3</t>
  </si>
  <si>
    <t>hyp</t>
  </si>
  <si>
    <t>тыс. Гкал/год</t>
  </si>
  <si>
    <t>человек</t>
  </si>
  <si>
    <t>HEAT_P4</t>
  </si>
  <si>
    <t>VSNA</t>
  </si>
  <si>
    <t>тыс. кВт·ч на тыс. куб. м</t>
  </si>
  <si>
    <t>COLDVSNA_P2</t>
  </si>
  <si>
    <t>Добавить производственный объект</t>
  </si>
  <si>
    <t>HEAT_P5</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</si>
  <si>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</si>
  <si>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</si>
  <si>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</si>
  <si>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</si>
  <si>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</si>
  <si>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</si>
  <si>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</si>
  <si>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</si>
  <si>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</si>
  <si>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111</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</si>
  <si>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</si>
  <si>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</si>
  <si>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p3</t>
  </si>
  <si>
    <t>Себестоимость оказываемых услуг по обращению с твёрдыми коммунальными отходами по регулируемому виду деятельности, включая:</t>
  </si>
  <si>
    <t>производственные расходы, в том числе:</t>
  </si>
  <si>
    <t>расходы на оплату труда основного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</si>
  <si>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</si>
  <si>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</si>
  <si>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</si>
  <si>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расходы на текущий ремонт</t>
  </si>
  <si>
    <t>расходы на капитальный ремонт</t>
  </si>
  <si>
    <t>административные расходы, в том числе:</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</si>
  <si>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</si>
  <si>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</si>
  <si>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</si>
  <si>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</si>
  <si>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</si>
  <si>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</si>
  <si>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</si>
  <si>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</si>
  <si>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</si>
  <si>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расходы на транспортирование твёрдых коммунальных отходов</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</si>
  <si>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</si>
  <si>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</si>
  <si>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</si>
  <si>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</si>
  <si>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</si>
  <si>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</si>
  <si>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</si>
  <si>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t>
  </si>
  <si>
    <t>Объём принятых твёрдых коммунальных отходов</t>
  </si>
  <si>
    <t>тыс. куб. м_x000D_
в год</t>
  </si>
  <si>
    <t>Масса принятых твёрдых коммунальных отходов</t>
  </si>
  <si>
    <t>тонн в год</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</si>
  <si>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</si>
  <si>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</si>
  <si>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</si>
  <si>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Себестоимость оказываемых услуг по регулируемому виду деятельности, включая:</t>
  </si>
  <si>
    <t>расходы на оплату труда и страховые взносы на обязательное социальное страхование, выплачиваемые из фонда оплаты труда</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</si>
  <si>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</si>
  <si>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</si>
  <si>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</si>
  <si>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</si>
  <si>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</si>
  <si>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</si>
  <si>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</si>
  <si>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</si>
  <si>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</si>
  <si>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</si>
  <si>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</si>
  <si>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</si>
  <si>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изменение стоимости основных фондов за счет их вывода из эксплуатации</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</si>
  <si>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</si>
  <si>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</si>
  <si>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</si>
  <si>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</si>
  <si>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</si>
  <si>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</si>
  <si>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</si>
  <si>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</si>
  <si>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</si>
  <si>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</si>
  <si>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</si>
  <si>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</si>
  <si>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</si>
  <si>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</si>
  <si>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</si>
  <si>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</si>
  <si>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</si>
  <si>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</si>
  <si>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</si>
  <si>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</si>
  <si>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</si>
  <si>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</si>
  <si>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</si>
  <si>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</si>
  <si>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</si>
  <si>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</si>
  <si>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</si>
  <si>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</si>
  <si>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</si>
  <si>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</si>
  <si>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</si>
  <si>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</si>
  <si>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</si>
  <si>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</si>
  <si>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</si>
  <si>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</si>
  <si>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</si>
  <si>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</si>
  <si>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</si>
  <si>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</si>
  <si>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</si>
  <si>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</si>
  <si>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</si>
  <si>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</si>
  <si>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</si>
  <si>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</si>
  <si>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</si>
  <si>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</si>
  <si>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</si>
  <si>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</si>
  <si>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</si>
  <si>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</si>
  <si>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</si>
  <si>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</si>
  <si>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</si>
  <si>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</si>
  <si>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</si>
  <si>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</si>
  <si>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</si>
  <si>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</si>
  <si>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</si>
  <si>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</si>
  <si>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</si>
  <si>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</si>
  <si>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</si>
  <si>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</si>
  <si>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</si>
  <si>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</si>
  <si>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</si>
  <si>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</si>
  <si>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</si>
  <si>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</si>
  <si>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</si>
  <si>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</si>
  <si>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</si>
  <si>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</si>
  <si>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</si>
  <si>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</si>
  <si>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</si>
  <si>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</si>
  <si>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</si>
  <si>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</si>
  <si>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</si>
  <si>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</si>
  <si>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</si>
  <si>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</si>
  <si>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</si>
  <si>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</si>
  <si>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</si>
  <si>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</si>
  <si>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</si>
  <si>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</si>
  <si>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</si>
  <si>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</si>
  <si>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</si>
  <si>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</si>
  <si>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</si>
  <si>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</si>
  <si>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</si>
  <si>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</si>
  <si>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</si>
  <si>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</si>
  <si>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</si>
  <si>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</si>
  <si>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</si>
  <si>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</si>
  <si>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</si>
  <si>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</si>
  <si>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</si>
  <si>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https://portal.eias.ru/Portal/DownloadPage.aspx?type=12&amp;guid=662d7d1a-f082-4fa3-be39-9ac34bd975a4</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</si>
  <si>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</si>
  <si>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</si>
  <si>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</si>
  <si>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https://portal.eias.ru/Portal/DownloadPage.aspx?type=12&amp;guid=431b6183-984f-4328-b221-8bec89b14899</t>
  </si>
  <si>
    <t>О показателях эффективности удаления загрязняющих веществ очистными сооружениями регулируемых организаций</t>
  </si>
  <si>
    <t>https://portal.eias.ru/Portal/DownloadPage.aspx?type=12&amp;guid=7403b0c4-f322-4cae-9e14-98d2491e13a6</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</si>
  <si>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</si>
  <si>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</si>
  <si>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</si>
  <si>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</si>
  <si>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</si>
  <si>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</si>
  <si>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</si>
  <si>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</si>
  <si>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</si>
  <si>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</si>
  <si>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</si>
  <si>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</si>
  <si>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</si>
  <si>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</si>
  <si>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</si>
  <si>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</si>
  <si>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</si>
  <si>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</si>
  <si>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</si>
  <si>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</si>
  <si>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</si>
  <si>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</si>
  <si>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пр. 19-150/2 от 30.10.2018 МУП "Уссурийск-Водоканал" в сфере водоснабжения и водоотведения по модернизации и реконструкции объектов, на территории городского округа Уссурийский на 2019-2023 годы</t>
  </si>
  <si>
    <t>Департамент  по  жилищно-коммунальному  хозяйству  и  топливным  ресурсам  Приморского  края</t>
  </si>
  <si>
    <t>Администрация  Уссурийского  городского  округа</t>
  </si>
  <si>
    <t>01.01.2019</t>
  </si>
  <si>
    <t>31.12.2023</t>
  </si>
  <si>
    <t>Департамент  по жилищно-коммунальному хозяйству и топливным ресурсам Приморкого края</t>
  </si>
  <si>
    <t>приказ</t>
  </si>
  <si>
    <t>пр.19-150/2</t>
  </si>
  <si>
    <t>Министерство жилищно-коммунального хозяйства Приморского края</t>
  </si>
  <si>
    <t>пр.19-214/2</t>
  </si>
  <si>
    <t>ip_47</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</si>
  <si>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</si>
  <si>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</si>
  <si>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</si>
  <si>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</si>
  <si>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</si>
  <si>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</si>
  <si>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</si>
  <si>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</si>
  <si>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</si>
  <si>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</si>
  <si>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</si>
  <si>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</si>
  <si>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</si>
  <si>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</si>
  <si>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</si>
  <si>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</si>
  <si>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</si>
  <si>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</si>
  <si>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</si>
  <si>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</si>
  <si>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</si>
  <si>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</si>
  <si>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</si>
  <si>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</si>
  <si>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</si>
  <si>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</si>
  <si>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</si>
  <si>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</si>
  <si>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</si>
  <si>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</si>
  <si>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Модернизация объекта "Очистные сооружения канализации по ул. Белинского, 2в в г. Уссурийске</t>
  </si>
  <si>
    <t>2021</t>
  </si>
  <si>
    <t>Модернизация КНС-2 по ул. Сибирцева,63</t>
  </si>
  <si>
    <t>2023</t>
  </si>
  <si>
    <t>Строительство 2-го напорного коллектора от КНС №10 по ул. Раковская, 2а до ОСК по ул. Белинского 2-в</t>
  </si>
  <si>
    <t>Модернизация КНС 6 по ул. Раздольная,6-г</t>
  </si>
  <si>
    <t>Модернизация КНС 13 по ул. Кушнира, 9б</t>
  </si>
  <si>
    <t>Модернизация КНС с. Корсаковка по ул. Комсомольская,11а</t>
  </si>
  <si>
    <t>Модернизация КНС13по ул. Кушнира, 9б</t>
  </si>
  <si>
    <t>Модернизация КНС г. Уссурийск, с. Новоникольск, ул. Колхозная, 1</t>
  </si>
  <si>
    <t>Строительство объекта: "Канализационная насосная станция для отвода канализационных стоков с застройки в границах улиц Чичерина - Бирюкова- Мичурина</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</si>
  <si>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</si>
  <si>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</si>
  <si>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</si>
  <si>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</si>
  <si>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</si>
  <si>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</si>
  <si>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</si>
  <si>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</si>
  <si>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</si>
  <si>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</si>
  <si>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</si>
  <si>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</si>
  <si>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</si>
  <si>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</si>
  <si>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</si>
  <si>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</si>
  <si>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</si>
  <si>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</si>
  <si>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</si>
  <si>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</si>
  <si>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</si>
  <si>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</si>
  <si>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</si>
  <si>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</si>
  <si>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</si>
  <si>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</si>
  <si>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</si>
  <si>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</si>
  <si>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</si>
  <si>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</si>
  <si>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</si>
  <si>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</si>
  <si>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</si>
  <si>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</si>
  <si>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</si>
  <si>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</si>
  <si>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</si>
  <si>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</si>
  <si>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</si>
  <si>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</si>
  <si>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</si>
  <si>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</si>
  <si>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</si>
  <si>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</si>
  <si>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</si>
  <si>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</si>
  <si>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</si>
  <si>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</si>
  <si>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</si>
  <si>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</si>
  <si>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</si>
  <si>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</si>
  <si>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</si>
  <si>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</si>
  <si>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</si>
  <si>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</si>
  <si>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</si>
  <si>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</si>
  <si>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</si>
  <si>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</si>
  <si>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</si>
  <si>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</si>
  <si>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</si>
  <si>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</si>
  <si>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</si>
  <si>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</si>
  <si>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</si>
  <si>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</si>
  <si>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</si>
  <si>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</si>
  <si>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</si>
  <si>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</si>
  <si>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</si>
  <si>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</si>
  <si>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</si>
  <si>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</si>
  <si>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</si>
  <si>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</si>
  <si>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</si>
  <si>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</si>
  <si>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</si>
  <si>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</si>
  <si>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</si>
  <si>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</si>
  <si>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</si>
  <si>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</si>
  <si>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</si>
  <si>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</si>
  <si>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</si>
  <si>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</si>
  <si>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</si>
  <si>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</si>
  <si>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</si>
  <si>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</si>
  <si>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</si>
  <si>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</si>
  <si>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</si>
  <si>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</si>
  <si>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</si>
  <si>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</si>
  <si>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</si>
  <si>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</si>
  <si>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</si>
  <si>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</si>
  <si>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</si>
  <si>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</si>
  <si>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</si>
  <si>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</si>
  <si>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</si>
  <si>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</si>
  <si>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</si>
  <si>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</si>
  <si>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</si>
  <si>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</si>
  <si>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</si>
  <si>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</si>
  <si>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</si>
  <si>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</si>
  <si>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</si>
  <si>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</si>
  <si>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</si>
  <si>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</si>
  <si>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</si>
  <si>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</si>
  <si>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</si>
  <si>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</si>
  <si>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</si>
  <si>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</si>
  <si>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</si>
  <si>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</si>
  <si>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</si>
  <si>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</si>
  <si>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</si>
  <si>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</si>
  <si>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</si>
  <si>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</si>
  <si>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</si>
  <si>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</si>
  <si>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</si>
  <si>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</si>
  <si>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</si>
  <si>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</si>
  <si>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</si>
  <si>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</si>
  <si>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</si>
  <si>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</si>
  <si>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</si>
  <si>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</si>
  <si>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</si>
  <si>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</si>
  <si>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</si>
  <si>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</si>
  <si>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</si>
  <si>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</si>
  <si>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</si>
  <si>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</si>
  <si>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</si>
  <si>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</si>
  <si>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</si>
  <si>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</si>
  <si>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</si>
  <si>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</si>
  <si>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</si>
  <si>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</si>
  <si>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</si>
  <si>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</si>
  <si>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</si>
  <si>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</si>
  <si>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</si>
  <si>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</si>
  <si>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</si>
  <si>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</si>
  <si>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</si>
  <si>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</si>
  <si>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</si>
  <si>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</si>
  <si>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</si>
  <si>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</si>
  <si>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</si>
  <si>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</si>
  <si>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</si>
  <si>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</si>
  <si>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</si>
  <si>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</si>
  <si>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</si>
  <si>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</si>
  <si>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</si>
  <si>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</si>
  <si>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</si>
  <si>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</si>
  <si>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</si>
  <si>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</si>
  <si>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</si>
  <si>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</si>
  <si>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</si>
  <si>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</si>
  <si>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</si>
  <si>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</si>
  <si>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</si>
  <si>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</si>
  <si>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</si>
  <si>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</si>
  <si>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</si>
  <si>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</si>
  <si>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</si>
  <si>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</si>
  <si>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</si>
  <si>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</si>
  <si>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</si>
  <si>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</si>
  <si>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</si>
  <si>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</si>
  <si>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</si>
  <si>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</si>
  <si>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</si>
  <si>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</si>
  <si>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</si>
  <si>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</si>
  <si>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</si>
  <si>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</si>
  <si>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</si>
  <si>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</si>
  <si>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</si>
  <si>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</si>
  <si>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</si>
  <si>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</si>
  <si>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</si>
  <si>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</si>
  <si>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</si>
  <si>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</si>
  <si>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</si>
  <si>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</si>
  <si>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</si>
  <si>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</si>
  <si>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</si>
  <si>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</si>
  <si>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</si>
  <si>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</si>
  <si>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</si>
  <si>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</si>
  <si>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</si>
  <si>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</si>
  <si>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</si>
  <si>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</si>
  <si>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</si>
  <si>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</si>
  <si>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</si>
  <si>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</si>
  <si>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</si>
  <si>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</si>
  <si>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</si>
  <si>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</si>
  <si>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</si>
  <si>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</si>
  <si>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</si>
  <si>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</si>
  <si>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</si>
  <si>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</si>
  <si>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</si>
  <si>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</si>
  <si>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</si>
  <si>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</si>
  <si>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</si>
  <si>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</si>
  <si>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</si>
  <si>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</si>
  <si>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</si>
  <si>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</si>
  <si>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</si>
  <si>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</si>
  <si>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</si>
  <si>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</si>
  <si>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</si>
  <si>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</si>
  <si>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</si>
  <si>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</si>
  <si>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</si>
  <si>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</si>
  <si>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</si>
  <si>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</si>
  <si>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</si>
  <si>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</si>
  <si>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</si>
  <si>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</si>
  <si>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</si>
  <si>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</si>
  <si>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</si>
  <si>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</si>
  <si>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</si>
  <si>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</si>
  <si>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</si>
  <si>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</si>
  <si>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</si>
  <si>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</si>
  <si>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</si>
  <si>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</si>
  <si>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</si>
  <si>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</si>
  <si>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</si>
  <si>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</si>
  <si>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</si>
  <si>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</si>
  <si>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</si>
  <si>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</si>
  <si>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</si>
  <si>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</si>
  <si>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</si>
  <si>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</si>
  <si>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</si>
  <si>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</si>
  <si>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</si>
  <si>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</si>
  <si>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</si>
  <si>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</si>
  <si>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</si>
  <si>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</si>
  <si>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</si>
  <si>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</si>
  <si>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</si>
  <si>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</si>
  <si>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</si>
  <si>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</si>
  <si>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</si>
  <si>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</si>
  <si>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</si>
  <si>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</si>
  <si>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</si>
  <si>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</si>
  <si>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</si>
  <si>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</si>
  <si>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</si>
  <si>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</si>
  <si>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</si>
  <si>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</si>
  <si>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</si>
  <si>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</si>
  <si>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</si>
  <si>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</si>
  <si>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</si>
  <si>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</si>
  <si>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</si>
  <si>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</si>
  <si>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</si>
  <si>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</si>
  <si>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</si>
  <si>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</si>
  <si>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</si>
  <si>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</si>
  <si>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</si>
  <si>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</si>
  <si>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</si>
  <si>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</si>
  <si>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</si>
  <si>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</si>
  <si>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</si>
  <si>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</si>
  <si>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</si>
  <si>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</si>
  <si>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</si>
  <si>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</si>
  <si>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</si>
  <si>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</si>
  <si>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</si>
  <si>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</si>
  <si>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</si>
  <si>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</si>
  <si>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</si>
  <si>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</si>
  <si>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</si>
  <si>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</si>
  <si>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</si>
  <si>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</si>
  <si>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</si>
  <si>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</si>
  <si>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</si>
  <si>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</si>
  <si>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</si>
  <si>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</si>
  <si>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</si>
  <si>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</si>
  <si>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</si>
  <si>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</si>
  <si>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</si>
  <si>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</si>
  <si>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</si>
  <si>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</si>
  <si>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</si>
  <si>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</si>
  <si>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</si>
  <si>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</si>
  <si>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</si>
  <si>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</si>
  <si>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</si>
  <si>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</si>
  <si>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</si>
  <si>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</si>
  <si>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</si>
  <si>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</si>
  <si>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</si>
  <si>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</si>
  <si>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</si>
  <si>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</si>
  <si>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</si>
  <si>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</si>
  <si>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</si>
  <si>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</si>
  <si>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</si>
  <si>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</si>
  <si>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</si>
  <si>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</si>
  <si>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</si>
  <si>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</si>
  <si>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</si>
  <si>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</si>
  <si>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</si>
  <si>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</si>
  <si>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</si>
  <si>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</si>
  <si>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</si>
  <si>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</si>
  <si>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</si>
  <si>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</si>
  <si>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</si>
  <si>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</si>
  <si>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</si>
  <si>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</si>
  <si>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</si>
  <si>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</si>
  <si>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</si>
  <si>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</si>
  <si>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</si>
  <si>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</si>
  <si>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</si>
  <si>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</si>
  <si>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</si>
  <si>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</si>
  <si>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</si>
  <si>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</si>
  <si>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</si>
  <si>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</si>
  <si>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</si>
  <si>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</si>
  <si>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</si>
  <si>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</si>
  <si>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</si>
  <si>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</si>
  <si>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</si>
  <si>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</si>
  <si>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</si>
  <si>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</si>
  <si>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</si>
  <si>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</si>
  <si>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</si>
  <si>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</si>
  <si>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</si>
  <si>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</si>
  <si>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</si>
  <si>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</si>
  <si>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</si>
  <si>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</si>
  <si>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</si>
  <si>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</si>
  <si>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</si>
  <si>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</si>
  <si>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</si>
  <si>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</si>
  <si>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</si>
  <si>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</si>
  <si>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</si>
  <si>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</si>
  <si>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</si>
  <si>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</si>
  <si>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</si>
  <si>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</si>
  <si>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</si>
  <si>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</si>
  <si>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</si>
  <si>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</si>
  <si>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</si>
  <si>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</si>
  <si>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</si>
  <si>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</si>
  <si>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</si>
  <si>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</si>
  <si>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</si>
  <si>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</si>
  <si>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</si>
  <si>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</si>
  <si>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</si>
  <si>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</si>
  <si>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</si>
  <si>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</si>
  <si>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</si>
  <si>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</si>
  <si>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</si>
  <si>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</si>
  <si>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</si>
  <si>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</si>
  <si>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</si>
  <si>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</si>
  <si>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</si>
  <si>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</si>
  <si>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</si>
  <si>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</si>
  <si>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</si>
  <si>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</si>
  <si>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</si>
  <si>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</si>
  <si>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</si>
  <si>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</si>
  <si>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</si>
  <si>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</si>
  <si>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</si>
  <si>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</si>
  <si>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</si>
  <si>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</si>
  <si>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</si>
  <si>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</si>
  <si>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</si>
  <si>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</si>
  <si>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</si>
  <si>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</si>
  <si>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</si>
  <si>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</si>
  <si>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</si>
  <si>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</si>
  <si>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</si>
  <si>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</si>
  <si>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</si>
  <si>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</si>
  <si>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</si>
  <si>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</si>
  <si>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</si>
  <si>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</si>
  <si>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</si>
  <si>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</si>
  <si>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</si>
  <si>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</si>
  <si>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</si>
  <si>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</si>
  <si>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</si>
  <si>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</si>
  <si>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</si>
  <si>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</si>
  <si>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</si>
  <si>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</si>
  <si>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</si>
  <si>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</si>
  <si>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</si>
  <si>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</si>
  <si>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</si>
  <si>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</si>
  <si>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</si>
  <si>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</si>
  <si>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</si>
  <si>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</si>
  <si>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</si>
  <si>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</si>
  <si>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</si>
  <si>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</si>
  <si>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</si>
  <si>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</si>
  <si>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</si>
  <si>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</si>
  <si>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</si>
  <si>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</si>
  <si>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</si>
  <si>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</si>
  <si>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</si>
  <si>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</si>
  <si>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</si>
  <si>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</si>
  <si>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</si>
  <si>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</si>
  <si>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</si>
  <si>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</si>
  <si>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</si>
  <si>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</si>
  <si>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</si>
  <si>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</si>
  <si>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</si>
  <si>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</si>
  <si>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</si>
  <si>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</si>
  <si>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</si>
  <si>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</si>
  <si>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</si>
  <si>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</si>
  <si>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</si>
  <si>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</si>
  <si>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</si>
  <si>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</si>
  <si>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</si>
  <si>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</si>
  <si>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</si>
  <si>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</si>
  <si>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</si>
  <si>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</si>
  <si>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</si>
  <si>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</si>
  <si>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</si>
  <si>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</si>
  <si>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</si>
  <si>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</si>
  <si>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</si>
  <si>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</si>
  <si>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</si>
  <si>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</si>
  <si>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</si>
  <si>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</si>
  <si>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</si>
  <si>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</si>
  <si>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</si>
  <si>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</si>
  <si>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</si>
  <si>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</si>
  <si>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</si>
  <si>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</si>
  <si>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</si>
  <si>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</si>
  <si>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</si>
  <si>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</si>
  <si>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</si>
  <si>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</si>
  <si>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</si>
  <si>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</si>
  <si>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</si>
  <si>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</si>
  <si>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</si>
  <si>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</si>
  <si>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</si>
  <si>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</si>
  <si>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</si>
  <si>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</si>
  <si>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</si>
  <si>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</si>
  <si>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</si>
  <si>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</si>
  <si>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</si>
  <si>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</si>
  <si>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</si>
  <si>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</si>
  <si>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</si>
  <si>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</si>
  <si>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</si>
  <si>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</si>
  <si>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</si>
  <si>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</si>
  <si>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</si>
  <si>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</si>
  <si>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</si>
  <si>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</si>
  <si>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</si>
  <si>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</si>
  <si>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</si>
  <si>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</si>
  <si>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</si>
  <si>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</si>
  <si>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</si>
  <si>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</si>
  <si>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</si>
  <si>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</si>
  <si>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</si>
  <si>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</si>
  <si>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</si>
  <si>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</si>
  <si>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</si>
  <si>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</si>
  <si>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</si>
  <si>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</si>
  <si>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</si>
  <si>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</si>
  <si>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</si>
  <si>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</si>
  <si>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</si>
  <si>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</si>
  <si>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</si>
  <si>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</si>
  <si>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</si>
  <si>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</si>
  <si>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</si>
  <si>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</si>
  <si>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</si>
  <si>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</si>
  <si>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</si>
  <si>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</si>
  <si>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</si>
  <si>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</si>
  <si>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</si>
  <si>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</si>
  <si>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</si>
  <si>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</si>
  <si>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</si>
  <si>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</si>
  <si>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</si>
  <si>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</si>
  <si>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</si>
  <si>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</si>
  <si>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</si>
  <si>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</si>
  <si>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</si>
  <si>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</si>
  <si>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</si>
  <si>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</si>
  <si>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</si>
  <si>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</si>
  <si>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</si>
  <si>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</si>
  <si>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</si>
  <si>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</si>
  <si>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</si>
  <si>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</si>
  <si>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</si>
  <si>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</si>
  <si>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</si>
  <si>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</si>
  <si>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</si>
  <si>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</si>
  <si>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</si>
  <si>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</si>
  <si>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</si>
  <si>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</si>
  <si>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</si>
  <si>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</si>
  <si>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</si>
  <si>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</si>
  <si>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</si>
  <si>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</si>
  <si>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</si>
  <si>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</si>
  <si>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</si>
  <si>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</si>
  <si>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</si>
  <si>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</si>
  <si>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</si>
  <si>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</si>
  <si>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</si>
  <si>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</si>
  <si>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</si>
  <si>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</si>
  <si>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</si>
  <si>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</si>
  <si>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</si>
  <si>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</si>
  <si>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</si>
  <si>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</si>
  <si>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</si>
  <si>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</si>
  <si>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</si>
  <si>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</si>
  <si>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</si>
  <si>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</si>
  <si>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</si>
  <si>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</si>
  <si>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</si>
  <si>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</si>
  <si>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</si>
  <si>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</si>
  <si>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</si>
  <si>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</si>
  <si>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</si>
  <si>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</si>
  <si>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</si>
  <si>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</si>
  <si>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</si>
  <si>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</si>
  <si>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</si>
  <si>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</si>
  <si>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</si>
  <si>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</si>
  <si>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</si>
  <si>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</si>
  <si>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</si>
  <si>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</si>
  <si>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</si>
  <si>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</si>
  <si>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</si>
  <si>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</si>
  <si>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</si>
  <si>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</si>
  <si>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</si>
  <si>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</si>
  <si>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</si>
  <si>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</si>
  <si>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</si>
  <si>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</si>
  <si>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</si>
  <si>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</si>
  <si>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</si>
  <si>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</si>
  <si>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</si>
  <si>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</si>
  <si>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</si>
  <si>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</si>
  <si>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</si>
  <si>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</si>
  <si>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</si>
  <si>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</si>
  <si>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</si>
  <si>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</si>
  <si>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</si>
  <si>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</si>
  <si>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</si>
  <si>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</si>
  <si>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</si>
  <si>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</si>
  <si>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</si>
  <si>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</si>
  <si>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</si>
  <si>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</si>
  <si>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</si>
  <si>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</si>
  <si>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</si>
  <si>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</si>
  <si>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</si>
  <si>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</si>
  <si>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</si>
  <si>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</si>
  <si>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</si>
  <si>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</si>
  <si>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</si>
  <si>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</si>
  <si>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</si>
  <si>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</si>
  <si>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</si>
  <si>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</si>
  <si>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</si>
  <si>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</si>
  <si>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</si>
  <si>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</si>
  <si>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</si>
  <si>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</si>
  <si>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</si>
  <si>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</si>
  <si>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</si>
  <si>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</si>
  <si>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</si>
  <si>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</si>
  <si>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</si>
  <si>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</si>
  <si>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</si>
  <si>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</si>
  <si>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</si>
  <si>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</si>
  <si>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</si>
  <si>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</si>
  <si>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</si>
  <si>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</si>
  <si>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</si>
  <si>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</si>
  <si>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</si>
  <si>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</si>
  <si>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</si>
  <si>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</si>
  <si>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</si>
  <si>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</si>
  <si>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</si>
  <si>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</si>
  <si>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</si>
  <si>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</si>
  <si>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</si>
  <si>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</si>
  <si>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</si>
  <si>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</si>
  <si>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</si>
  <si>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</si>
  <si>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</si>
  <si>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</si>
  <si>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</si>
  <si>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</si>
  <si>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</si>
  <si>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</si>
  <si>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</si>
  <si>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</si>
  <si>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</si>
  <si>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</si>
  <si>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</si>
  <si>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</si>
  <si>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</si>
  <si>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</si>
  <si>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</si>
  <si>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</si>
  <si>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</si>
  <si>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</si>
  <si>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</si>
  <si>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</si>
  <si>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</si>
  <si>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</si>
  <si>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</si>
  <si>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</si>
  <si>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</si>
  <si>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</si>
  <si>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</si>
  <si>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</si>
  <si>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</si>
  <si>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</si>
  <si>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</si>
  <si>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</si>
  <si>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</si>
  <si>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</si>
  <si>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</si>
  <si>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</si>
  <si>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</si>
  <si>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</si>
  <si>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</si>
  <si>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</si>
  <si>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</si>
  <si>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</si>
  <si>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</si>
  <si>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</si>
  <si>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</si>
  <si>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</si>
  <si>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</si>
  <si>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</si>
  <si>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</si>
  <si>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</si>
  <si>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</si>
  <si>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</si>
  <si>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</si>
  <si>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</si>
  <si>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</si>
  <si>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</si>
  <si>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</si>
  <si>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</si>
  <si>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</si>
  <si>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</si>
  <si>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</si>
  <si>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</si>
  <si>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</si>
  <si>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</si>
  <si>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</si>
  <si>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</si>
  <si>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</si>
  <si>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</si>
  <si>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</si>
  <si>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</si>
  <si>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</si>
  <si>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</si>
  <si>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</si>
  <si>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</si>
  <si>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</si>
  <si>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</si>
  <si>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</si>
  <si>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</si>
  <si>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</si>
  <si>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</si>
  <si>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</si>
  <si>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</si>
  <si>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</si>
  <si>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</si>
  <si>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</si>
  <si>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</si>
  <si>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</si>
  <si>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</si>
  <si>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</si>
  <si>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</si>
  <si>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</si>
  <si>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</si>
  <si>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</si>
  <si>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</si>
  <si>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</si>
  <si>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</si>
  <si>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</si>
  <si>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</si>
  <si>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</si>
  <si>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</si>
  <si>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</si>
  <si>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</si>
  <si>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</si>
  <si>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</si>
  <si>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</si>
  <si>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</si>
  <si>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</si>
  <si>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</si>
  <si>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</si>
  <si>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</si>
  <si>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</si>
  <si>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</si>
  <si>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</si>
  <si>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</si>
  <si>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</si>
  <si>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</si>
  <si>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</si>
  <si>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</si>
  <si>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</si>
  <si>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</si>
  <si>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</si>
  <si>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</si>
  <si>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</si>
  <si>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</si>
  <si>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</si>
  <si>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</si>
  <si>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</si>
  <si>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</si>
  <si>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</si>
  <si>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</si>
  <si>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</si>
  <si>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</si>
  <si>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</si>
  <si>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</si>
  <si>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</si>
  <si>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</si>
  <si>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</si>
  <si>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</si>
  <si>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</si>
  <si>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</si>
  <si>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</si>
  <si>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</si>
  <si>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</si>
  <si>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</si>
  <si>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</si>
  <si>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</si>
  <si>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</si>
  <si>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</si>
  <si>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</si>
  <si>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</si>
  <si>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</si>
  <si>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</si>
  <si>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</si>
  <si>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</si>
  <si>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</si>
  <si>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</si>
  <si>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</si>
  <si>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</si>
  <si>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</si>
  <si>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</si>
  <si>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</si>
  <si>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</si>
  <si>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</si>
  <si>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</si>
  <si>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</si>
  <si>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</si>
  <si>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</si>
  <si>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</si>
  <si>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</si>
  <si>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</si>
  <si>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</si>
  <si>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</si>
  <si>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</si>
  <si>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</si>
  <si>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</si>
  <si>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</si>
  <si>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</si>
  <si>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</si>
  <si>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</si>
  <si>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</si>
  <si>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</si>
  <si>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</si>
  <si>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</si>
  <si>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</si>
  <si>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</si>
  <si>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</si>
  <si>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</si>
  <si>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</si>
  <si>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</si>
  <si>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</si>
  <si>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</si>
  <si>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</si>
  <si>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</si>
  <si>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</si>
  <si>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</si>
  <si>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</si>
  <si>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</si>
  <si>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</si>
  <si>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</si>
  <si>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</si>
  <si>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</si>
  <si>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</si>
  <si>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</si>
  <si>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</si>
  <si>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</si>
  <si>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</si>
  <si>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</si>
  <si>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</si>
  <si>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</si>
  <si>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</si>
  <si>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</si>
  <si>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</si>
  <si>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</si>
  <si>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</si>
  <si>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</si>
  <si>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</si>
  <si>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</si>
  <si>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</si>
  <si>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</si>
  <si>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</si>
  <si>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</si>
  <si>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</si>
  <si>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</si>
  <si>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</si>
  <si>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</si>
  <si>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</si>
  <si>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</si>
  <si>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</si>
  <si>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</si>
  <si>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</si>
  <si>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</si>
  <si>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</si>
  <si>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</si>
  <si>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</si>
  <si>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</si>
  <si>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</si>
  <si>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</si>
  <si>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</si>
  <si>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</si>
  <si>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</si>
  <si>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</si>
  <si>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</si>
  <si>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</si>
  <si>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</si>
  <si>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</si>
  <si>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</si>
  <si>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</si>
  <si>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</si>
  <si>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</si>
  <si>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</si>
  <si>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</si>
  <si>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</si>
  <si>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</si>
  <si>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</si>
  <si>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</si>
  <si>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</si>
  <si>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</si>
  <si>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</si>
  <si>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</si>
  <si>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</si>
  <si>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</si>
  <si>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</si>
  <si>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</si>
  <si>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</si>
  <si>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</si>
  <si>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</si>
  <si>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</si>
  <si>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</si>
  <si>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</si>
  <si>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</si>
  <si>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</si>
  <si>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</si>
  <si>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</si>
  <si>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</si>
  <si>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</si>
  <si>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</si>
  <si>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</si>
  <si>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</si>
  <si>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</si>
  <si>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</si>
  <si>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</si>
  <si>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</si>
  <si>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</si>
  <si>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</si>
  <si>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</si>
  <si>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</si>
  <si>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</si>
  <si>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</si>
  <si>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</si>
  <si>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</si>
  <si>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</si>
  <si>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</si>
  <si>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</si>
  <si>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</si>
  <si>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</si>
  <si>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</si>
  <si>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</si>
  <si>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</si>
  <si>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</si>
  <si>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</si>
  <si>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</si>
  <si>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</si>
  <si>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</si>
  <si>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</si>
  <si>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</si>
  <si>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</si>
  <si>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</si>
  <si>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</si>
  <si>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</si>
  <si>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</si>
  <si>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</si>
  <si>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</si>
  <si>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</si>
  <si>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</si>
  <si>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</si>
  <si>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</si>
  <si>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</si>
  <si>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</si>
  <si>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</si>
  <si>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</si>
  <si>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</si>
  <si>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</si>
  <si>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</si>
  <si>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</si>
  <si>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</si>
  <si>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</si>
  <si>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</si>
  <si>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</si>
  <si>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</si>
  <si>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</si>
  <si>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</si>
  <si>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</si>
  <si>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</si>
  <si>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</si>
  <si>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</si>
  <si>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</si>
  <si>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</si>
  <si>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</si>
  <si>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</si>
  <si>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</si>
  <si>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</si>
  <si>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</si>
  <si>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</si>
  <si>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</si>
  <si>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</si>
  <si>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</si>
  <si>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</si>
  <si>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</si>
  <si>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</si>
  <si>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</si>
  <si>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</si>
  <si>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</si>
  <si>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</si>
  <si>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</si>
  <si>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</si>
  <si>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</si>
  <si>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</si>
  <si>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</si>
  <si>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</si>
  <si>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</si>
  <si>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</si>
  <si>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</si>
  <si>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</si>
  <si>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</si>
  <si>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</si>
  <si>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</si>
  <si>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</si>
  <si>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</si>
  <si>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</si>
  <si>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</si>
  <si>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</si>
  <si>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</si>
  <si>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</si>
  <si>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</si>
  <si>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</si>
  <si>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</si>
  <si>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</si>
  <si>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</si>
  <si>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</si>
  <si>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</si>
  <si>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</si>
  <si>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</si>
  <si>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</si>
  <si>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</si>
  <si>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</si>
  <si>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</si>
  <si>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</si>
  <si>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</si>
  <si>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</si>
  <si>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</si>
  <si>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</si>
  <si>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</si>
  <si>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</si>
  <si>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</si>
  <si>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</si>
  <si>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</si>
  <si>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</si>
  <si>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</si>
  <si>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</si>
  <si>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</si>
  <si>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</si>
  <si>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</si>
  <si>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</si>
  <si>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</si>
  <si>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</si>
  <si>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</si>
  <si>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</si>
  <si>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</si>
  <si>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</si>
  <si>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</si>
  <si>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</si>
  <si>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</si>
  <si>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</si>
  <si>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</si>
  <si>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</si>
  <si>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</si>
  <si>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</si>
  <si>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</si>
  <si>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</si>
  <si>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</si>
  <si>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</si>
  <si>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</si>
  <si>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</si>
  <si>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</si>
  <si>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</si>
  <si>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</si>
  <si>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</si>
  <si>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</si>
  <si>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</si>
  <si>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</si>
  <si>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</si>
  <si>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</si>
  <si>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</si>
  <si>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</si>
  <si>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</si>
  <si>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</si>
  <si>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</si>
  <si>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</si>
  <si>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</si>
  <si>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</si>
  <si>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</si>
  <si>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</si>
  <si>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</si>
  <si>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</si>
  <si>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</si>
  <si>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</si>
  <si>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</si>
  <si>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</si>
  <si>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</si>
  <si>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</si>
  <si>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</si>
  <si>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</si>
  <si>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</si>
  <si>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</si>
  <si>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</si>
  <si>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</si>
  <si>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</si>
  <si>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</si>
  <si>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</si>
  <si>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</si>
  <si>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</si>
  <si>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</si>
  <si>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</si>
  <si>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</si>
  <si>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</si>
  <si>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</si>
  <si>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</si>
  <si>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</si>
  <si>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</si>
  <si>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</si>
  <si>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</si>
  <si>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</si>
  <si>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</si>
  <si>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</si>
  <si>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</si>
  <si>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</si>
  <si>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</si>
  <si>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</si>
  <si>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</si>
  <si>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</si>
  <si>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</si>
  <si>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</si>
  <si>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</si>
  <si>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</si>
  <si>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</si>
  <si>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</si>
  <si>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</si>
  <si>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</si>
  <si>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</si>
  <si>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</si>
  <si>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</si>
  <si>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</si>
  <si>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</si>
  <si>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</si>
  <si>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</si>
  <si>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</si>
  <si>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</si>
  <si>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</si>
  <si>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</si>
  <si>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</si>
  <si>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</si>
  <si>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L_NAME</t>
  </si>
  <si>
    <t>L_START_DATE</t>
  </si>
  <si>
    <t>L_END_DATE</t>
  </si>
  <si>
    <t>Инвестиционная программа № 19-156/2 от 26.07.2021 ООО "Водосток" в сфере водоотведения по комплексному развитию систем водоотведения и очистки сточных вод, на территории городского округа Лесозаводский на 2022-2026 годы</t>
  </si>
  <si>
    <t>01.01.2022</t>
  </si>
  <si>
    <t>31.12.2026</t>
  </si>
  <si>
    <t>Инвестиционная программа № 19-182/2 от 30.10.2019 КГУП Приморский водоканал в сфере водоснабжения и водоотведения по развитию систем водоcнабжения и водоотведения, на территории городского округа Артемовский на 2020 год</t>
  </si>
  <si>
    <t>01.01.2020</t>
  </si>
  <si>
    <t>31.12.2020</t>
  </si>
  <si>
    <t>Инвестиционная программа № 19-93/2 от 12.12.2017 КГУП Приморский водоканал в сфере водоснабжения и водоотведения по развитию систем водоcнабжения и водоотведения, на территории городского округа Большой Камень на 2018-2023 годы</t>
  </si>
  <si>
    <t>01.01.2018</t>
  </si>
  <si>
    <t>Инвестиционная программа № пр.19-105/2 от 14.08.2018 КГУП Приморский водоканал в сфере водоснабжения и водоотведения по развитию систем водоcнабжения и водоотведения, на территории городского округа Владивостокский на 2019-2021 годы</t>
  </si>
  <si>
    <t>31.12.2021</t>
  </si>
  <si>
    <t>Инвестиционная программа № пр.19-183/2 от 30.10.2019 КГУП "Примтеплоэнерго" в сфере водоснабжения и водоотведения по строительству, реконструкции и модернизации объектов, на территории городского округа ЗАТО Фокино на 2020 год</t>
  </si>
  <si>
    <t>Инвестиционная программа КГУП "Приморский водоканал" по развитию систем водоснабжения и водоотведения городского округа Большой Камень на 2018-2020 годы</t>
  </si>
  <si>
    <t>Инвестиционная программа МУП "Находка-Водоканал" по модернизации объектов централизованных систем водоснабжения и водоотведения Находкинского городского округа на 2018-2020 годы</t>
  </si>
  <si>
    <t>01.07.2018</t>
  </si>
  <si>
    <t>Инвестиционная программа ООО "Врангель Водосток", осуществляющего услуги водоотведения на территории Находкинского городского округа на 2018-2025 годы</t>
  </si>
  <si>
    <t>31.12.2025</t>
  </si>
  <si>
    <t>Инвестиционная программа ООО "Форд-Ност", осуществляющее холодное водоснабжение и водоотведение на территории Находкинского городского округа на 2018-2025 годы</t>
  </si>
  <si>
    <t>Инвестиционная программа краевого ГУП "Примтеплоэнерго" осуществляющего холодное водоснабжение и водоотведение на территории городского округа Спасск-Дальний на 2017-2024 годы</t>
  </si>
  <si>
    <t>01.01.2017</t>
  </si>
  <si>
    <t>31.12.2024</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</si>
  <si>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округа Дальнегорский на 2021-2030 годы</t>
  </si>
  <si>
    <t>01.01.2021</t>
  </si>
  <si>
    <t>31.12.2030</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</si>
  <si>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поселения Новошахтинское, Михайловский муниципальный район на 2021-2033 годы</t>
  </si>
  <si>
    <t>31.12.2033</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</si>
  <si>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2021-2031 годы</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</si>
  <si>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</si>
  <si>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</si>
  <si>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31.12.2028</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</si>
  <si>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</si>
  <si>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Инвестиционная программа от 08.10.2020 КГУП "Примтеплоэнерго" в сфере водоснабжения и водоотведения по модернизации и строительству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</si>
  <si>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14.08.2018 КГУП Приморский водоканал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Владивостокский на 2019-2024 годы</t>
  </si>
  <si>
    <t>Инвестиционная программа от 17.03.2020 ООО "Лучегорский водоканал" в сфере водоотведения по реконструкции единого комплекса объектов, на территории городского поселения Лучегорское, Пожарский муниципальный район на 2021-2022 годы</t>
  </si>
  <si>
    <t>31.12.2022</t>
  </si>
  <si>
    <t>Инвестиционная программа от 23.08.2023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2024-2028 годы</t>
  </si>
  <si>
    <t>01.01.2024</t>
  </si>
  <si>
    <t>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</si>
  <si>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26.05.2020 МУП Находка-Водоканал в сфере водоотведения по модернизации единого комплекса объектов, на территории городского округа Находкинский на 2021-2023 годы</t>
  </si>
  <si>
    <t>TER_NAME</t>
  </si>
  <si>
    <t>Территория 1</t>
  </si>
  <si>
    <t>ID_TARIFF_NAME</t>
  </si>
  <si>
    <t>TARIFF_NAME</t>
  </si>
  <si>
    <t>VED_NAME</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</si>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</sst>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14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4" borderId="17" xfId="0" applyFont="1" applyFill="1" applyBorder="1" applyNumberFormat="1">
      <alignment horizontal="left" vertical="center" wrapText="1" indent="1"/>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49" fontId="0" fillId="0" borderId="12" xfId="0" applyFont="1" applyBorder="1" applyNumberFormat="1">
      <alignment vertical="top"/>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64" fillId="0" borderId="0" xfId="0" applyFont="1" applyNumberFormat="1">
      <alignment vertical="center"/>
    </xf>
    <xf numFmtId="0" fontId="19" fillId="39" borderId="36" xfId="0" applyFont="1" applyFill="1" applyBorder="1" applyNumberFormat="1">
      <alignment horizontal="left" vertical="center" wrapText="1" indent="2"/>
    </xf>
    <xf numFmtId="0" fontId="19" fillId="34" borderId="23" xfId="0" applyFont="1" applyFill="1" applyBorder="1" applyNumberFormat="1">
      <alignment horizontal="left" vertical="center" wrapText="1" indent="1"/>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19" fillId="0" borderId="0" xfId="0" applyFont="1" applyNumberFormat="1">
      <alignment vertical="center" wrapText="1"/>
    </xf>
    <xf numFmtId="0" fontId="19" fillId="0" borderId="17"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60" fillId="34" borderId="0" xfId="0" applyFont="1" applyFill="1" applyNumberFormat="1">
      <alignment horizontal="right" vertical="center"/>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24" fillId="0" borderId="0" xfId="0" applyFont="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19" fillId="0" borderId="0" xfId="0" applyFont="1" applyNumberFormat="1">
      <alignment horizontal="left" vertical="center" wrapTex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4"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173" fontId="19" fillId="35" borderId="12" xfId="0" applyFont="1" applyFill="1" applyBorder="1" applyNumberFormat="1">
      <alignment horizontal="right" vertical="center" wrapText="1"/>
      <protection locked="0"/>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49" fontId="63" fillId="0" borderId="12" xfId="0" applyFont="1" applyBorder="1" applyNumberFormat="1">
      <alignment horizontal="lef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49" fontId="37" fillId="0" borderId="12" xfId="0" applyFont="1" applyBorder="1" applyNumberFormat="1">
      <alignment vertical="center" wrapText="1"/>
    </xf>
    <xf numFmtId="49" fontId="82" fillId="0" borderId="0" xfId="0" applyFont="1" applyNumberFormat="1">
      <alignment horizontal="center" vertical="center" wrapText="1"/>
    </xf>
    <xf numFmtId="0" fontId="37" fillId="0" borderId="0" xfId="0" applyFont="1" applyNumberFormat="1">
      <alignment vertical="center" wrapText="1"/>
    </xf>
    <xf numFmtId="49" fontId="19" fillId="38" borderId="12" xfId="0" applyFont="1" applyFill="1" applyBorder="1" applyNumberFormat="1">
      <alignmen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 fontId="19" fillId="38" borderId="13" xfId="0" applyFont="1" applyFill="1" applyBorder="1" applyNumberFormat="1">
      <alignment horizontal="right" vertical="center" wrapText="1"/>
      <protection locked="0"/>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115" fillId="35" borderId="13"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173" fontId="19" fillId="33" borderId="13"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 fontId="19" fillId="38" borderId="30"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7" fillId="0" borderId="17" xfId="0" applyFont="1" applyBorder="1" applyNumberFormat="1">
      <alignment horizontal="left" vertical="center" wrapText="1"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44" fillId="0" borderId="0" xfId="0" applyFont="1" applyNumberFormat="1">
      <alignment vertical="center"/>
    </xf>
    <xf numFmtId="0" fontId="63" fillId="0" borderId="0" xfId="0" applyFont="1" applyNumberFormat="1">
      <alignment vertical="center" wrapText="1"/>
    </xf>
    <xf numFmtId="0" fontId="53" fillId="0" borderId="0" xfId="0" applyFont="1" applyNumberFormat="1">
      <alignment vertical="center" wrapText="1"/>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15" xfId="0" applyFont="1" applyBorder="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3" fontId="34" fillId="35" borderId="12" xfId="0" applyFont="1" applyFill="1" applyBorder="1" applyNumberFormat="1">
      <alignment horizontal="right" vertical="center"/>
      <protection locked="0"/>
    </xf>
    <xf numFmtId="0" fontId="34"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19"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4" fontId="19" fillId="38" borderId="23" xfId="0" applyFont="1" applyFill="1" applyBorder="1" applyNumberFormat="1">
      <alignment horizontal="right" vertical="center" wrapText="1"/>
      <protection locked="0"/>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115" fillId="38" borderId="14" xfId="0" applyFont="1" applyFill="1" applyBorder="1" applyNumberFormat="1">
      <alignment horizontal="left" vertical="center" wrapText="1"/>
      <protection locked="0"/>
    </xf>
    <xf numFmtId="49" fontId="115" fillId="38" borderId="14"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4" borderId="17" xfId="0" applyFont="1" applyFill="1" applyBorder="1" applyNumberFormat="1">
      <alignment horizontal="left" vertical="center" wrapText="1" inden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9" fontId="34" fillId="0" borderId="0" xfId="0" applyFont="1" applyNumberFormat="1">
      <alignment vertical="center"/>
    </xf>
    <xf numFmtId="49" fontId="37" fillId="0" borderId="0" xfId="0" applyFont="1" applyNumberFormat="1">
      <alignment horizontal="center" vertical="center" wrapText="1"/>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ail@ussuraqua.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0.xml.rels><?xml version="1.0" encoding="UTF-8" standalone="yes"?>
<Relationships xmlns="http://schemas.openxmlformats.org/package/2006/relationships"><Relationship Id="rId1" Type="http://schemas.openxmlformats.org/officeDocument/2006/relationships/hyperlink" Target="https://portal.eias.ru/Portal/DownloadPage.aspx?type=12&amp;guid=f5113c99-0dd4-4a95-afa2-956b0178a9fc" TargetMode="External"/><Relationship Id="rId2" Type="http://schemas.openxmlformats.org/officeDocument/2006/relationships/hyperlink" Target="https://portal.eias.ru/Portal/DownloadPage.aspx?type=12&amp;guid=f5113c99-0dd4-4a95-afa2-956b0178a9fc" TargetMode="External"/><Relationship Id="rId3" Type="http://schemas.openxmlformats.org/officeDocument/2006/relationships/hyperlink" Target="https://portal.eias.ru/Portal/DownloadPage.aspx?type=12&amp;guid=f5113c99-0dd4-4a95-afa2-956b0178a9fc" TargetMode="External"/></Relationships>
</file>

<file path=xl/worksheets/_rels/sheet44.xml.rels><?xml version="1.0" encoding="UTF-8" standalone="yes"?>
<Relationships xmlns="http://schemas.openxmlformats.org/package/2006/relationships"><Relationship Id="rId1" Type="http://schemas.openxmlformats.org/officeDocument/2006/relationships/hyperlink" Target="&apos;&#1055;&#1086;&#1082;&#1072;&#1079;&#1072;&#1090;&#1077;&#1083;&#1080; &#1050;&#1053;&#1069;&apos;!$I$97" TargetMode="External"/><Relationship Id="rId2" Type="http://schemas.openxmlformats.org/officeDocument/2006/relationships/hyperlink" Target="&apos;&#1055;&#1086;&#1082;&#1072;&#1079;&#1072;&#1090;&#1077;&#1083;&#1080; &#1050;&#1053;&#1069;&apos;!$K$97" TargetMode="External"/><Relationship Id="rId3" Type="http://schemas.openxmlformats.org/officeDocument/2006/relationships/hyperlink" Target="&apos;&#1055;&#1086;&#1082;&#1072;&#1079;&#1072;&#1090;&#1077;&#1083;&#1080; &#1050;&#1053;&#1069;&apos;!$M$97" TargetMode="External"/><Relationship Id="rId4" Type="http://schemas.openxmlformats.org/officeDocument/2006/relationships/hyperlink" Target="&apos;&#1055;&#1086;&#1082;&#1072;&#1079;&#1072;&#1090;&#1077;&#1083;&#1080; &#1050;&#1053;&#1069;&apos;!$I$98" TargetMode="External"/><Relationship Id="rId5" Type="http://schemas.openxmlformats.org/officeDocument/2006/relationships/hyperlink" Target="&apos;&#1055;&#1086;&#1082;&#1072;&#1079;&#1072;&#1090;&#1077;&#1083;&#1080; &#1050;&#1053;&#1069;&apos;!$K$98" TargetMode="External"/><Relationship Id="rId6" Type="http://schemas.openxmlformats.org/officeDocument/2006/relationships/hyperlink" Target="&apos;&#1055;&#1086;&#1082;&#1072;&#1079;&#1072;&#1090;&#1077;&#1083;&#1080; &#1050;&#1053;&#1069;&apos;!$M$98" TargetMode="External"/><Relationship Id="rId7" Type="http://schemas.openxmlformats.org/officeDocument/2006/relationships/hyperlink" Target="&apos;&#1055;&#1086;&#1082;&#1072;&#1079;&#1072;&#1090;&#1077;&#1083;&#1080; &#1050;&#1053;&#1069;&apos;!$I$99" TargetMode="External"/><Relationship Id="rId8" Type="http://schemas.openxmlformats.org/officeDocument/2006/relationships/hyperlink" Target="https://portal.eias.ru/Portal/DownloadPage.aspx?type=12&amp;guid=431b6183-984f-4328-b221-8bec89b14899" TargetMode="External"/><Relationship Id="rId9" Type="http://schemas.openxmlformats.org/officeDocument/2006/relationships/hyperlink" Target="&apos;&#1055;&#1086;&#1082;&#1072;&#1079;&#1072;&#1090;&#1077;&#1083;&#1080; &#1050;&#1053;&#1069;&apos;!$M$99" TargetMode="External"/><Relationship Id="rId10" Type="http://schemas.openxmlformats.org/officeDocument/2006/relationships/hyperlink" Target="https://portal.eias.ru/Portal/DownloadPage.aspx?type=12&amp;guid=7403b0c4-f322-4cae-9e14-98d2491e13a6" TargetMode="External"/><Relationship Id="rId11" Type="http://schemas.openxmlformats.org/officeDocument/2006/relationships/hyperlink" Target="&apos;&#1055;&#1086;&#1082;&#1072;&#1079;&#1072;&#1090;&#1077;&#1083;&#1080; &#1050;&#1053;&#1069;&apos;!$K$100" TargetMode="External"/><Relationship Id="rId12" Type="http://schemas.openxmlformats.org/officeDocument/2006/relationships/hyperlink" Target="&apos;&#1055;&#1086;&#1082;&#1072;&#1079;&#1072;&#1090;&#1077;&#1083;&#1080; &#1050;&#1053;&#1069;&apos;!$M$1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030757-014D-7D52-D5D4-51F7024675C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5" width="5.421875" customWidth="1"/>
    <col min="2" max="2" style="2475" width="9.140625" customWidth="1"/>
    <col min="3" max="3" style="2475" width="16.421875" customWidth="1"/>
    <col min="4" max="25" style="2475" width="6.28125" customWidth="1"/>
    <col min="26" max="28" style="2475"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34D3E09-D8D8-3287-0074-1D6066FBC1A5}" mc:Ignorable="x14ac xr xr2 xr3">
  <sheetPr>
    <tabColor rgb="FFCCCCFF"/>
  </sheetPr>
  <dimension ref="A1:P87"/>
  <sheetViews>
    <sheetView topLeftCell="A1" showGridLines="0" zoomScale="90" workbookViewId="0">
      <selection activeCell="L68" sqref="L68"/>
    </sheetView>
  </sheetViews>
  <sheetFormatPr defaultColWidth="9.140625" customHeight="1" defaultRowHeight="11.25"/>
  <cols>
    <col min="1" max="1" style="2492" width="10.7109375" hidden="1" customWidth="1"/>
    <col min="2" max="2" style="2482" width="10.7109375" hidden="1" customWidth="1"/>
    <col min="3" max="3" style="2583" width="3.7109375" customWidth="1"/>
    <col min="4" max="4" style="2584" width="1.7109375" customWidth="1"/>
    <col min="5" max="5" style="2584" width="55.28125" customWidth="1"/>
    <col min="6" max="6" style="2584" width="50.7109375" customWidth="1"/>
    <col min="7" max="7" style="2498" width="1.7109375" customWidth="1"/>
    <col min="8" max="8" style="2499" width="18.00390625" hidden="1" customWidth="1"/>
    <col min="9" max="9" style="2479" width="9.57421875" customWidth="1"/>
    <col min="10" max="10" style="2519" width="52.140625" hidden="1" customWidth="1"/>
    <col min="11" max="11" style="2584" width="9.140625"/>
    <col min="12" max="12" style="2584" width="78.00390625" customWidth="1"/>
    <col min="13" max="16" style="2584" width="9.140625"/>
  </cols>
  <sheetData>
    <row s="2476" customFormat="1" customHeight="1" ht="3">
      <c r="A1" s="793"/>
      <c r="B1" s="227"/>
      <c r="F1" s="228">
        <v>26354809</v>
      </c>
      <c r="G1" s="418"/>
      <c r="H1" s="56"/>
      <c r="I1" s="418"/>
      <c r="J1" s="881"/>
    </row>
    <row s="2480" customFormat="1" customHeight="1" ht="14.25">
      <c r="A2" s="793"/>
      <c r="B2" s="84"/>
      <c r="E2" s="1786" t="str">
        <f>code</f>
        <v>Код отчёта: PP108.OPEN.INFO.BALANCE.VOTV.EIAS</v>
      </c>
      <c r="F2" s="255"/>
      <c r="G2" s="231"/>
      <c r="H2" s="231"/>
      <c r="I2" s="231"/>
      <c r="J2" s="882"/>
      <c r="K2" s="231"/>
    </row>
    <row customHeight="1" ht="14.25">
      <c r="E3" s="232" t="str">
        <f>version</f>
        <v>Версия отчёта: 1.0.2</v>
      </c>
      <c r="F3" s="255"/>
      <c r="G3" s="780"/>
      <c r="H3" s="780"/>
      <c r="I3" s="780"/>
      <c r="J3" s="883"/>
      <c r="K3" s="73"/>
    </row>
    <row s="2491" customFormat="1" customHeight="1" ht="6">
      <c r="A4" s="794"/>
      <c r="B4" s="218"/>
      <c r="C4" s="219"/>
      <c r="D4" s="220"/>
      <c r="E4" s="229"/>
      <c r="F4" s="230"/>
      <c r="G4" s="781"/>
      <c r="H4" s="416"/>
      <c r="I4" s="418"/>
      <c r="J4" s="884"/>
    </row>
    <row customHeight="1" ht="37.5">
      <c r="D5" s="60"/>
      <c r="E5" s="1934"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1935"/>
      <c r="G5" s="782"/>
      <c r="J5" s="885"/>
    </row>
    <row s="2491" customFormat="1" customHeight="1" ht="6">
      <c r="A6" s="794"/>
      <c r="B6" s="218"/>
      <c r="C6" s="219"/>
      <c r="D6" s="220"/>
      <c r="E6" s="223"/>
      <c r="F6" s="224"/>
      <c r="G6" s="782"/>
      <c r="H6" s="416"/>
      <c r="I6" s="418"/>
      <c r="J6" s="884"/>
    </row>
    <row customHeight="1" ht="19.5">
      <c r="D7" s="60"/>
      <c r="E7" s="397" t="s">
        <v>13</v>
      </c>
      <c r="F7" s="201" t="s">
        <v>14</v>
      </c>
      <c r="G7" s="782"/>
    </row>
    <row s="2491" customFormat="1" customHeight="1" ht="6">
      <c r="A8" s="795"/>
      <c r="B8" s="218"/>
      <c r="C8" s="219"/>
      <c r="D8" s="225"/>
      <c r="E8" s="223"/>
      <c r="F8" s="226"/>
      <c r="G8" s="62"/>
      <c r="H8" s="416"/>
      <c r="I8" s="418"/>
      <c r="J8" s="887"/>
    </row>
    <row s="2499" customFormat="1" customHeight="1" ht="19.5" hidden="1">
      <c r="A9" s="794"/>
      <c r="B9" s="84"/>
      <c r="C9" s="415"/>
      <c r="D9" s="417"/>
      <c r="E9" s="1179" t="s">
        <v>15</v>
      </c>
      <c r="F9" s="1165"/>
      <c r="G9" s="782"/>
      <c r="I9" s="418"/>
      <c r="J9" s="886"/>
    </row>
    <row s="2520" customFormat="1" customHeight="1" ht="6">
      <c r="A10" s="795"/>
      <c r="B10" s="433"/>
      <c r="C10" s="434"/>
      <c r="D10" s="225"/>
      <c r="E10" s="223"/>
      <c r="F10" s="226"/>
      <c r="G10" s="62"/>
      <c r="H10" s="416"/>
      <c r="I10" s="418"/>
      <c r="J10" s="887"/>
    </row>
    <row customHeight="1" ht="22.5" hidden="1">
      <c r="A11" s="1937" t="s">
        <v>16</v>
      </c>
      <c r="D11" s="60"/>
      <c r="E11" s="1179" t="s">
        <v>17</v>
      </c>
      <c r="F11" s="1778" t="s">
        <v>18</v>
      </c>
      <c r="G11" s="62"/>
      <c r="H11" s="783" t="s">
        <v>19</v>
      </c>
      <c r="J11" s="886" t="s">
        <v>20</v>
      </c>
    </row>
    <row customHeight="1" ht="22.5" hidden="1">
      <c r="A12" s="1937"/>
      <c r="D12" s="60"/>
      <c r="E12" s="1179" t="s">
        <v>21</v>
      </c>
      <c r="F12" s="1778"/>
      <c r="G12" s="58"/>
      <c r="J12" s="886" t="s">
        <v>22</v>
      </c>
    </row>
    <row s="2499" customFormat="1" customHeight="1" ht="22.5" hidden="1">
      <c r="A13" s="798" t="s">
        <v>23</v>
      </c>
      <c r="B13" s="84"/>
      <c r="C13" s="415"/>
      <c r="D13" s="417"/>
      <c r="E13" s="1825" t="s">
        <v>24</v>
      </c>
      <c r="F13" s="1778" t="s">
        <v>18</v>
      </c>
      <c r="G13" s="62"/>
      <c r="H13" s="780"/>
      <c r="I13" s="418"/>
      <c r="J13" s="1826" t="s">
        <v>25</v>
      </c>
    </row>
    <row s="2499" customFormat="1" customHeight="1" ht="27">
      <c r="A14" s="798" t="s">
        <v>26</v>
      </c>
      <c r="B14" s="84"/>
      <c r="C14" s="415"/>
      <c r="D14" s="417"/>
      <c r="E14" s="1179" t="s">
        <v>27</v>
      </c>
      <c r="F14" s="2530">
        <v>2023</v>
      </c>
      <c r="G14" s="62"/>
      <c r="H14" s="780"/>
      <c r="I14" s="418"/>
      <c r="J14" s="886" t="s">
        <v>28</v>
      </c>
    </row>
    <row s="2499" customFormat="1" customHeight="1" ht="19.5" hidden="1">
      <c r="A15" s="798" t="s">
        <v>29</v>
      </c>
      <c r="B15" s="84"/>
      <c r="C15" s="415"/>
      <c r="D15" s="417"/>
      <c r="E15" s="1179" t="s">
        <v>30</v>
      </c>
      <c r="F15" s="1814"/>
      <c r="G15" s="62"/>
      <c r="H15" s="780"/>
      <c r="I15" s="418"/>
      <c r="J15" s="886" t="s">
        <v>31</v>
      </c>
    </row>
    <row s="2491" customFormat="1" customHeight="1" ht="6">
      <c r="A16" s="795"/>
      <c r="B16" s="218"/>
      <c r="C16" s="219"/>
      <c r="D16" s="225"/>
      <c r="E16" s="223"/>
      <c r="F16" s="226"/>
      <c r="G16" s="62"/>
      <c r="H16" s="416"/>
      <c r="I16" s="418"/>
      <c r="J16" s="884"/>
    </row>
    <row customHeight="1" ht="19.5">
      <c r="D17" s="60"/>
      <c r="E17" s="397" t="s">
        <v>32</v>
      </c>
      <c r="F17" s="202" t="s">
        <v>33</v>
      </c>
      <c r="G17" s="58"/>
      <c r="H17" s="783" t="s">
        <v>19</v>
      </c>
    </row>
    <row customHeight="1" ht="22.5" hidden="1">
      <c r="D18" s="60"/>
      <c r="E18" s="1825" t="s">
        <v>34</v>
      </c>
      <c r="F18" s="1779" t="s">
        <v>35</v>
      </c>
      <c r="G18" s="58"/>
      <c r="I18" s="784"/>
      <c r="J18" s="1936" t="s">
        <v>36</v>
      </c>
    </row>
    <row customHeight="1" ht="22.5" hidden="1">
      <c r="D19" s="60"/>
      <c r="E19" s="1825" t="s">
        <v>37</v>
      </c>
      <c r="F19" s="1779"/>
      <c r="G19" s="58"/>
      <c r="I19" s="784"/>
      <c r="J19" s="1936"/>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5" t="s">
        <v>38</v>
      </c>
    </row>
    <row customHeight="1" ht="19.5" hidden="1">
      <c r="D21" s="60"/>
      <c r="E21" s="397" t="str">
        <f>"Дата "&amp;IF(TEMPLATE_GROUP="P","документа","подачи заявления")&amp;" об "&amp;IF(TITLE_DATE_PR_CHANGE="","утверждении","изменении")&amp;" тарифов"</f>
        <v>Дата подачи заявления об утверждении тарифов</v>
      </c>
      <c r="F21" s="1778" t="s">
        <v>18</v>
      </c>
      <c r="G21" s="58"/>
      <c r="I21" s="785"/>
    </row>
    <row customHeight="1" ht="19.5" hidden="1">
      <c r="D22" s="60"/>
      <c r="E22" s="397"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202"/>
      <c r="G22" s="58"/>
      <c r="I22" s="785"/>
    </row>
    <row customHeight="1" ht="22.5" hidden="1">
      <c r="D23" s="60"/>
      <c r="E23" s="397" t="s">
        <v>39</v>
      </c>
      <c r="F23" s="202"/>
      <c r="G23" s="58"/>
    </row>
    <row customHeight="1" ht="19.5" hidden="1">
      <c r="D24" s="60"/>
      <c r="E24" s="397" t="s">
        <v>40</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5" t="s">
        <v>41</v>
      </c>
    </row>
    <row customHeight="1" ht="22.5" hidden="1">
      <c r="D26" s="60"/>
      <c r="E26" s="397" t="s">
        <v>42</v>
      </c>
      <c r="F26" s="204"/>
      <c r="G26" s="58"/>
    </row>
    <row customHeight="1" ht="19.5" hidden="1">
      <c r="D27" s="60"/>
      <c r="E27" s="397" t="s">
        <v>43</v>
      </c>
      <c r="F27" s="1779"/>
      <c r="G27" s="58"/>
    </row>
    <row customHeight="1" ht="19.5" hidden="1">
      <c r="D28" s="60"/>
      <c r="E28" s="397" t="s">
        <v>44</v>
      </c>
      <c r="F28" s="204"/>
      <c r="G28" s="58"/>
    </row>
    <row customHeight="1" ht="19.5" hidden="1">
      <c r="D29" s="60"/>
      <c r="E29" s="397" t="s">
        <v>40</v>
      </c>
      <c r="F29" s="204"/>
      <c r="G29" s="58"/>
    </row>
    <row s="2491" customFormat="1" customHeight="1" ht="6">
      <c r="A30" s="795"/>
      <c r="B30" s="218"/>
      <c r="C30" s="219"/>
      <c r="D30" s="225"/>
      <c r="E30" s="223"/>
      <c r="F30" s="226"/>
      <c r="G30" s="62"/>
      <c r="H30" s="416"/>
      <c r="I30" s="418"/>
      <c r="J30" s="884"/>
    </row>
    <row customHeight="1" ht="19.5">
      <c r="C31" s="63"/>
      <c r="D31" s="64"/>
      <c r="E31" s="397" t="s">
        <v>45</v>
      </c>
      <c r="F31" s="203" t="s">
        <v>46</v>
      </c>
      <c r="G31" s="786"/>
    </row>
    <row customHeight="1" ht="19.5" hidden="1">
      <c r="C32" s="63"/>
      <c r="D32" s="64"/>
      <c r="E32" s="398" t="s">
        <v>47</v>
      </c>
      <c r="F32" s="1813"/>
      <c r="G32" s="786"/>
    </row>
    <row customHeight="1" ht="19.5">
      <c r="C33" s="63"/>
      <c r="D33" s="64"/>
      <c r="E33" s="397" t="s">
        <v>48</v>
      </c>
      <c r="F33" s="203" t="s">
        <v>49</v>
      </c>
      <c r="G33" s="786"/>
    </row>
    <row customHeight="1" ht="19.5">
      <c r="C34" s="63"/>
      <c r="D34" s="64"/>
      <c r="E34" s="397" t="s">
        <v>50</v>
      </c>
      <c r="F34" s="203" t="s">
        <v>51</v>
      </c>
      <c r="G34" s="786"/>
      <c r="H34" s="65"/>
    </row>
    <row s="2491" customFormat="1" customHeight="1" ht="11.25">
      <c r="A35" s="795"/>
      <c r="B35" s="218"/>
      <c r="C35" s="219"/>
      <c r="D35" s="225"/>
      <c r="E35" s="223"/>
      <c r="F35" s="226"/>
      <c r="G35" s="62"/>
      <c r="H35" s="416"/>
      <c r="I35" s="418"/>
      <c r="J35" s="884"/>
    </row>
    <row customHeight="1" ht="19.5" hidden="1">
      <c r="A36" s="889"/>
      <c r="D36" s="64"/>
      <c r="E36" s="397" t="s">
        <v>52</v>
      </c>
      <c r="F36" s="344"/>
      <c r="G36" s="62"/>
    </row>
    <row customHeight="1" ht="19.5">
      <c r="A37" s="889"/>
      <c r="D37" s="64"/>
      <c r="E37" s="397" t="s">
        <v>53</v>
      </c>
      <c r="F37" s="2550" t="s">
        <v>54</v>
      </c>
      <c r="G37" s="62"/>
    </row>
    <row s="2491" customFormat="1" customHeight="1" ht="6">
      <c r="A38" s="795"/>
      <c r="B38" s="218"/>
      <c r="C38" s="219"/>
      <c r="D38" s="220"/>
      <c r="E38" s="221"/>
      <c r="F38" s="1066"/>
      <c r="G38" s="58"/>
      <c r="H38" s="416"/>
      <c r="I38" s="418"/>
      <c r="J38" s="886"/>
    </row>
    <row customHeight="1" ht="22.5">
      <c r="A39" s="795"/>
      <c r="D39" s="60"/>
      <c r="E39" s="397" t="s">
        <v>55</v>
      </c>
      <c r="F39" s="718" t="s">
        <v>56</v>
      </c>
      <c r="G39" s="58"/>
      <c r="H39" s="783" t="s">
        <v>19</v>
      </c>
    </row>
    <row s="2520" customFormat="1" customHeight="1" ht="6" hidden="1">
      <c r="A40" s="794"/>
      <c r="B40" s="433"/>
      <c r="C40" s="434"/>
      <c r="D40" s="435"/>
      <c r="E40" s="436"/>
      <c r="F40" s="1066"/>
      <c r="G40" s="58"/>
      <c r="H40" s="416"/>
      <c r="I40" s="418"/>
      <c r="J40" s="886"/>
    </row>
    <row s="2499" customFormat="1" customHeight="1" ht="19.5" hidden="1">
      <c r="A41" s="798" t="s">
        <v>23</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8" t="s">
        <v>56</v>
      </c>
      <c r="G41" s="58"/>
      <c r="I41" s="418"/>
      <c r="J41" s="886"/>
    </row>
    <row s="2520" customFormat="1" customHeight="1" ht="6" hidden="1">
      <c r="A42" s="794"/>
      <c r="B42" s="433"/>
      <c r="C42" s="434"/>
      <c r="D42" s="435"/>
      <c r="E42" s="436"/>
      <c r="F42" s="1066"/>
      <c r="G42" s="58"/>
      <c r="H42" s="416"/>
      <c r="I42" s="418"/>
      <c r="J42" s="884"/>
    </row>
    <row s="2499" customFormat="1" customHeight="1" ht="22.5" hidden="1">
      <c r="A43" s="794"/>
      <c r="B43" s="420"/>
      <c r="C43" s="415"/>
      <c r="D43" s="417"/>
      <c r="E43" s="397" t="s">
        <v>57</v>
      </c>
      <c r="F43" s="718" t="s">
        <v>58</v>
      </c>
      <c r="G43" s="58"/>
      <c r="I43" s="418"/>
      <c r="J43" s="886"/>
    </row>
    <row s="2499" customFormat="1" customHeight="1" ht="22.5" hidden="1">
      <c r="A44" s="794"/>
      <c r="B44" s="420"/>
      <c r="C44" s="415"/>
      <c r="D44" s="417"/>
      <c r="E44" s="1179" t="s">
        <v>59</v>
      </c>
      <c r="F44" s="761"/>
      <c r="G44" s="58"/>
      <c r="I44" s="418"/>
      <c r="J44" s="886"/>
    </row>
    <row s="2520" customFormat="1" customHeight="1" ht="6" hidden="1">
      <c r="A45" s="794"/>
      <c r="B45" s="433"/>
      <c r="C45" s="434"/>
      <c r="D45" s="435"/>
      <c r="E45" s="436"/>
      <c r="F45" s="1066"/>
      <c r="G45" s="58"/>
      <c r="H45" s="416"/>
      <c r="I45" s="418"/>
      <c r="J45" s="886"/>
    </row>
    <row s="2520" customFormat="1" customHeight="1" ht="22.5" hidden="1">
      <c r="A46" s="794"/>
      <c r="B46" s="433"/>
      <c r="C46" s="434"/>
      <c r="D46" s="435"/>
      <c r="E46" s="1179" t="s">
        <v>60</v>
      </c>
      <c r="F46" s="718" t="s">
        <v>56</v>
      </c>
      <c r="G46" s="58"/>
      <c r="H46" s="416"/>
      <c r="I46" s="418"/>
      <c r="J46" s="886"/>
    </row>
    <row s="2499" customFormat="1" customHeight="1" ht="22.5" hidden="1">
      <c r="A47" s="794"/>
      <c r="B47" s="420"/>
      <c r="C47" s="415"/>
      <c r="D47" s="417"/>
      <c r="E47" s="1179" t="s">
        <v>61</v>
      </c>
      <c r="F47" s="718" t="s">
        <v>56</v>
      </c>
      <c r="G47" s="58"/>
      <c r="I47" s="418"/>
      <c r="J47" s="886"/>
    </row>
    <row s="2491" customFormat="1" customHeight="1" ht="6" hidden="1">
      <c r="A48" s="794"/>
      <c r="B48" s="218"/>
      <c r="C48" s="219"/>
      <c r="D48" s="220"/>
      <c r="E48" s="221"/>
      <c r="F48" s="1066"/>
      <c r="G48" s="58"/>
      <c r="H48" s="416"/>
      <c r="I48" s="418"/>
      <c r="J48" s="886"/>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8"/>
      <c r="G49" s="58"/>
    </row>
    <row s="2520" customFormat="1" customHeight="1" ht="6">
      <c r="A50" s="795"/>
      <c r="B50" s="433"/>
      <c r="C50" s="434"/>
      <c r="D50" s="225"/>
      <c r="E50" s="223"/>
      <c r="F50" s="226"/>
      <c r="G50" s="62"/>
      <c r="H50" s="416"/>
      <c r="I50" s="418"/>
      <c r="J50" s="886"/>
    </row>
    <row s="2559" customFormat="1" customHeight="1" ht="22.5">
      <c r="A51" s="796"/>
      <c r="B51" s="420"/>
      <c r="C51" s="538"/>
      <c r="D51" s="539"/>
      <c r="E51" s="397" t="s">
        <v>62</v>
      </c>
      <c r="F51" s="718" t="s">
        <v>56</v>
      </c>
      <c r="G51" s="540"/>
      <c r="I51" s="542"/>
      <c r="J51" s="888"/>
      <c r="P51" s="543"/>
    </row>
    <row s="2520" customFormat="1" customHeight="1" ht="6">
      <c r="A52" s="795"/>
      <c r="B52" s="433"/>
      <c r="C52" s="434"/>
      <c r="D52" s="225"/>
      <c r="E52" s="223"/>
      <c r="F52" s="226"/>
      <c r="G52" s="62"/>
      <c r="H52" s="416"/>
      <c r="I52" s="418"/>
      <c r="J52" s="884"/>
    </row>
    <row s="2559" customFormat="1" customHeight="1" ht="22.5">
      <c r="A53" s="796"/>
      <c r="B53" s="420"/>
      <c r="C53" s="538"/>
      <c r="D53" s="539"/>
      <c r="E53" s="397" t="s">
        <v>63</v>
      </c>
      <c r="F53" s="1061" t="s">
        <v>56</v>
      </c>
      <c r="G53" s="540"/>
      <c r="I53" s="542"/>
      <c r="J53" s="888"/>
      <c r="P53" s="543"/>
    </row>
    <row s="2559" customFormat="1" customHeight="1" ht="22.5" hidden="1">
      <c r="A54" s="796"/>
      <c r="B54" s="420"/>
      <c r="C54" s="538"/>
      <c r="D54" s="539"/>
      <c r="E54" s="397" t="s">
        <v>64</v>
      </c>
      <c r="F54" s="1824"/>
      <c r="G54" s="540"/>
      <c r="I54" s="542"/>
      <c r="J54" s="888"/>
      <c r="P54" s="543"/>
    </row>
    <row s="2520" customFormat="1" customHeight="1" ht="6">
      <c r="A55" s="795"/>
      <c r="B55" s="433"/>
      <c r="C55" s="434"/>
      <c r="D55" s="225"/>
      <c r="E55" s="223"/>
      <c r="F55" s="226"/>
      <c r="G55" s="62"/>
      <c r="H55" s="416"/>
      <c r="I55" s="418"/>
      <c r="J55" s="884"/>
    </row>
    <row s="2559" customFormat="1" customHeight="1" ht="22.5">
      <c r="A56" s="796"/>
      <c r="B56" s="420"/>
      <c r="C56" s="538"/>
      <c r="D56" s="539"/>
      <c r="E56" s="397" t="s">
        <v>65</v>
      </c>
      <c r="F56" s="1061" t="s">
        <v>56</v>
      </c>
      <c r="G56" s="540"/>
      <c r="I56" s="542"/>
      <c r="J56" s="888"/>
      <c r="P56" s="543"/>
    </row>
    <row s="2520" customFormat="1" customHeight="1" ht="6">
      <c r="A57" s="795"/>
      <c r="B57" s="433"/>
      <c r="C57" s="434"/>
      <c r="D57" s="225"/>
      <c r="E57" s="223"/>
      <c r="F57" s="226"/>
      <c r="G57" s="62"/>
      <c r="H57" s="416"/>
      <c r="I57" s="418"/>
      <c r="J57" s="884"/>
    </row>
    <row s="2559" customFormat="1" customHeight="1" ht="15">
      <c r="A58" s="796"/>
      <c r="B58" s="420"/>
      <c r="C58" s="538"/>
      <c r="D58" s="539"/>
      <c r="E58" s="397" t="s">
        <v>66</v>
      </c>
      <c r="F58" s="1061" t="s">
        <v>58</v>
      </c>
      <c r="G58" s="540"/>
      <c r="I58" s="542"/>
      <c r="J58" s="888"/>
      <c r="P58" s="543"/>
    </row>
    <row s="2559" customFormat="1" customHeight="1" ht="59.166666666666664">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05" t="s">
        <v>58</v>
      </c>
      <c r="G59" s="540"/>
      <c r="I59" s="542"/>
      <c r="J59" s="888"/>
      <c r="P59" s="543"/>
    </row>
    <row s="2559" customFormat="1" customHeight="1" ht="16.666666666666668">
      <c r="A60" s="796"/>
      <c r="B60" s="420"/>
      <c r="C60" s="538"/>
      <c r="D60" s="539"/>
      <c r="E60" s="1179" t="s">
        <v>67</v>
      </c>
      <c r="F60" s="2550" t="s">
        <v>68</v>
      </c>
      <c r="G60" s="540"/>
      <c r="I60" s="542"/>
      <c r="J60" s="888"/>
      <c r="P60" s="543"/>
    </row>
    <row s="2520" customFormat="1" customHeight="1" ht="6" hidden="1">
      <c r="A61" s="795"/>
      <c r="B61" s="433"/>
      <c r="C61" s="434"/>
      <c r="D61" s="435"/>
      <c r="E61" s="436"/>
      <c r="F61" s="1066"/>
      <c r="G61" s="58"/>
      <c r="H61" s="416"/>
      <c r="I61" s="418"/>
      <c r="J61" s="886"/>
    </row>
    <row s="2499" customFormat="1" customHeight="1" ht="33.75" hidden="1">
      <c r="A62" s="795"/>
      <c r="B62" s="84"/>
      <c r="C62" s="415"/>
      <c r="D62" s="417"/>
      <c r="E62" s="1179" t="s">
        <v>69</v>
      </c>
      <c r="F62" s="1717" t="s">
        <v>58</v>
      </c>
      <c r="G62" s="58"/>
      <c r="H62" s="783" t="s">
        <v>19</v>
      </c>
      <c r="I62" s="418"/>
      <c r="J62" s="886"/>
    </row>
    <row s="2491" customFormat="1" customHeight="1" ht="6">
      <c r="A63" s="795"/>
      <c r="B63" s="218"/>
      <c r="C63" s="219"/>
      <c r="D63" s="225"/>
      <c r="E63" s="223"/>
      <c r="F63" s="226"/>
      <c r="G63" s="62"/>
      <c r="H63" s="416"/>
      <c r="I63" s="418"/>
      <c r="J63" s="884"/>
    </row>
    <row customHeight="1" ht="22.5">
      <c r="A64" s="797"/>
      <c r="B64" s="85"/>
      <c r="D64" s="67"/>
      <c r="E64" s="397" t="s">
        <v>70</v>
      </c>
      <c r="F64" s="202" t="s">
        <v>71</v>
      </c>
      <c r="G64" s="62"/>
    </row>
    <row customHeight="1" ht="19.5">
      <c r="A65" s="797"/>
      <c r="B65" s="85"/>
      <c r="D65" s="67"/>
      <c r="E65" s="397" t="s">
        <v>72</v>
      </c>
      <c r="F65" s="202" t="s">
        <v>73</v>
      </c>
      <c r="G65" s="62"/>
    </row>
    <row customHeight="1" ht="35.25">
      <c r="D66" s="60"/>
      <c r="E66" s="399" t="s">
        <v>74</v>
      </c>
      <c r="F66" s="1067"/>
      <c r="G66" s="58"/>
    </row>
    <row customHeight="1" ht="19.5">
      <c r="A67" s="797"/>
      <c r="D67" s="417"/>
      <c r="E67" s="397" t="s">
        <v>75</v>
      </c>
      <c r="F67" s="257" t="s">
        <v>76</v>
      </c>
      <c r="G67" s="62"/>
    </row>
    <row customHeight="1" ht="19.5">
      <c r="A68" s="797"/>
      <c r="B68" s="85"/>
      <c r="D68" s="67"/>
      <c r="E68" s="397" t="s">
        <v>77</v>
      </c>
      <c r="F68" s="257" t="s">
        <v>78</v>
      </c>
      <c r="G68" s="62"/>
    </row>
    <row customHeight="1" ht="19.5">
      <c r="A69" s="797"/>
      <c r="B69" s="85"/>
      <c r="D69" s="67"/>
      <c r="E69" s="397" t="s">
        <v>79</v>
      </c>
      <c r="F69" s="257" t="s">
        <v>80</v>
      </c>
      <c r="G69" s="62"/>
    </row>
    <row customHeight="1" ht="19.5">
      <c r="D70" s="417"/>
      <c r="E70" s="397" t="s">
        <v>81</v>
      </c>
      <c r="F70" s="2577" t="s">
        <v>82</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display="Как заполнить?" tooltip="Помощь по работе с полями отчётной формы" xr:uid="{01D0EBB9-FEF3-690C-4224-4472D79C0B91}"/>
    <hyperlink ref="H17" location="Титульный!H9" display="Как заполнить?" tooltip="Помощь по работе с полями отчётной формы" xr:uid="{9A88AA29-0BDF-4504-ED1C-AC3592CC5E14}"/>
    <hyperlink ref="H39" location="Титульный!H9" display="Как заполнить?" tooltip="Помощь по работе с полями отчётной формы" xr:uid="{C3D7CE67-8FA1-8EA5-811D-ABD3D2F7F3AB}"/>
    <hyperlink ref="H62" location="Титульный!H9" display="Как заполнить?" tooltip="Помощь по работе с полями отчётной формы" xr:uid="{5D7FCC72-363A-DBA5-5545-2E572BC337BE}"/>
    <hyperlink ref="F70" r:id="rId4" xr:uid="{9B19DBA4-4895-8623-2CC6-B2586203D57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7E1F2-92A8-6B43-9465-3AD9B1D76A38}"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599" width="8.00390625" hidden="1" customWidth="1"/>
    <col min="2" max="2" style="2600" width="6.00390625" hidden="1" customWidth="1"/>
    <col min="3" max="3" style="2599" width="3.7109375" customWidth="1"/>
    <col min="4" max="4" style="2661" width="3.7109375" customWidth="1"/>
    <col min="5" max="5" style="2663" width="6.28125" customWidth="1"/>
    <col min="6" max="6" style="2599" width="2.7109375" hidden="1" customWidth="1"/>
    <col min="7" max="7" style="2663" width="46.7109375" customWidth="1"/>
    <col min="8" max="8" style="2663" width="43.140625" customWidth="1"/>
    <col min="9" max="9" style="2663" width="14.8515625" customWidth="1"/>
    <col min="10" max="10" style="2605" width="3.7109375" customWidth="1"/>
    <col min="11" max="13" style="2605" width="9.140625" hidden="1"/>
    <col min="14" max="14" style="2606" width="25.7109375" hidden="1" customWidth="1"/>
    <col min="15" max="15" style="2605" width="14.421875" hidden="1" customWidth="1"/>
    <col min="16" max="19" style="2607" width="9.140625" hidden="1"/>
    <col min="20" max="27" style="2663" width="9.140625" hidden="1"/>
    <col min="28" max="28" style="2663" width="9.140625"/>
  </cols>
  <sheetData>
    <row s="2585" customFormat="1" customHeight="1" ht="5.25" hidden="1">
      <c r="A1" s="504"/>
      <c r="B1" s="519"/>
      <c r="C1" s="519"/>
      <c r="D1" s="207"/>
      <c r="F1" s="519"/>
      <c r="G1" s="233" t="s">
        <v>83</v>
      </c>
      <c r="H1" s="502" t="s">
        <v>84</v>
      </c>
      <c r="I1" s="213" t="s">
        <v>85</v>
      </c>
      <c r="J1" s="233" t="s">
        <v>83</v>
      </c>
      <c r="K1" s="233"/>
      <c r="L1" s="233"/>
      <c r="M1" s="233"/>
      <c r="N1" s="234"/>
      <c r="O1" s="233"/>
      <c r="P1" s="233"/>
      <c r="Q1" s="233"/>
      <c r="R1" s="233"/>
      <c r="S1" s="233"/>
      <c r="T1" s="213"/>
      <c r="U1" s="213"/>
      <c r="V1" s="213"/>
      <c r="W1" s="213"/>
      <c r="X1" s="213"/>
      <c r="Y1" s="213"/>
      <c r="Z1" s="213"/>
      <c r="AA1" s="213"/>
      <c r="AB1" s="213"/>
    </row>
    <row s="2593"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8" customFormat="1" customHeight="1" ht="3">
      <c r="A3" s="768"/>
      <c r="B3" s="424"/>
      <c r="C3" s="768"/>
      <c r="D3" s="150"/>
      <c r="E3" s="89"/>
      <c r="F3" s="517"/>
      <c r="G3" s="89"/>
      <c r="H3" s="89"/>
      <c r="I3" s="152"/>
      <c r="J3" s="233"/>
      <c r="K3" s="141"/>
      <c r="L3" s="141"/>
      <c r="M3" s="141"/>
      <c r="N3" s="212"/>
      <c r="O3" s="141"/>
      <c r="P3" s="211"/>
      <c r="Q3" s="211"/>
      <c r="R3" s="211"/>
      <c r="S3" s="211"/>
    </row>
    <row s="2598" customFormat="1" customHeight="1" ht="25.5">
      <c r="A4" s="768"/>
      <c r="B4" s="424"/>
      <c r="C4" s="768"/>
      <c r="D4" s="150"/>
      <c r="E4" s="1939" t="str">
        <f>NameTemplatesInListMO</f>
        <v>Перечень муниципальных районов и муниципальных образований (территорий оказания услуг)</v>
      </c>
      <c r="F4" s="1939"/>
      <c r="G4" s="1939"/>
      <c r="H4" s="1939"/>
      <c r="I4" s="1939"/>
      <c r="J4" s="233"/>
      <c r="K4" s="141"/>
      <c r="L4" s="141"/>
      <c r="M4" s="141"/>
      <c r="N4" s="212"/>
      <c r="O4" s="141"/>
      <c r="P4" s="211"/>
      <c r="Q4" s="211"/>
      <c r="R4" s="211"/>
      <c r="S4" s="211"/>
    </row>
    <row s="2598" customFormat="1" customHeight="1" ht="3">
      <c r="A5" s="768"/>
      <c r="B5" s="424"/>
      <c r="C5" s="768"/>
      <c r="D5" s="150"/>
      <c r="E5" s="89"/>
      <c r="F5" s="517"/>
      <c r="G5" s="153"/>
      <c r="H5" s="153"/>
      <c r="I5" s="154"/>
      <c r="J5" s="141"/>
      <c r="K5" s="141"/>
      <c r="L5" s="141"/>
      <c r="M5" s="141"/>
      <c r="N5" s="212"/>
      <c r="O5" s="141"/>
      <c r="P5" s="211"/>
      <c r="Q5" s="211"/>
      <c r="R5" s="211"/>
      <c r="S5" s="211"/>
    </row>
    <row s="2598"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8" customFormat="1" customHeight="1" ht="14.25">
      <c r="A8" s="768"/>
      <c r="B8" s="424"/>
      <c r="C8" s="768"/>
      <c r="D8" s="150"/>
      <c r="E8" s="1940" t="s">
        <v>86</v>
      </c>
      <c r="F8" s="1941"/>
      <c r="G8" s="1942"/>
      <c r="H8" s="1943" t="s">
        <v>87</v>
      </c>
      <c r="I8" s="1943"/>
      <c r="J8" s="141"/>
      <c r="K8" s="141"/>
      <c r="L8" s="141"/>
      <c r="M8" s="141"/>
      <c r="N8" s="212"/>
      <c r="O8" s="141"/>
      <c r="P8" s="211"/>
      <c r="Q8" s="211"/>
      <c r="R8" s="211"/>
      <c r="S8" s="211"/>
    </row>
    <row s="2598" customFormat="1" customHeight="1" ht="20.25">
      <c r="A9" s="768"/>
      <c r="B9" s="424"/>
      <c r="C9" s="768"/>
      <c r="D9" s="150"/>
      <c r="E9" s="787" t="s">
        <v>88</v>
      </c>
      <c r="F9" s="787"/>
      <c r="G9" s="158" t="s">
        <v>89</v>
      </c>
      <c r="H9" s="158" t="s">
        <v>89</v>
      </c>
      <c r="I9" s="158" t="s">
        <v>85</v>
      </c>
      <c r="J9" s="141"/>
      <c r="K9" s="141"/>
      <c r="L9" s="141"/>
      <c r="M9" s="141"/>
      <c r="N9" s="212"/>
      <c r="O9" s="141"/>
      <c r="P9" s="211"/>
      <c r="Q9" s="211"/>
      <c r="R9" s="211"/>
      <c r="S9" s="211"/>
    </row>
    <row customHeight="1" ht="11.25">
      <c r="D10" s="162"/>
      <c r="E10" s="788" t="s">
        <v>90</v>
      </c>
      <c r="F10" s="788"/>
      <c r="G10" s="209" t="s">
        <v>91</v>
      </c>
      <c r="H10" s="209" t="s">
        <v>92</v>
      </c>
      <c r="I10" s="209" t="s">
        <v>93</v>
      </c>
      <c r="J10" s="172"/>
      <c r="K10" s="172"/>
      <c r="L10" s="172"/>
      <c r="M10" s="172"/>
      <c r="N10" s="157"/>
      <c r="O10" s="172"/>
      <c r="P10" s="210"/>
      <c r="Q10" s="210"/>
      <c r="R10" s="210"/>
      <c r="S10" s="210"/>
    </row>
    <row s="2598" customFormat="1" customHeight="1" ht="0.75">
      <c r="A11" s="768"/>
      <c r="B11" s="424"/>
      <c r="C11" s="768"/>
      <c r="D11" s="150"/>
      <c r="E11" s="800"/>
      <c r="F11" s="800"/>
      <c r="G11" s="159"/>
      <c r="H11" s="159"/>
      <c r="I11" s="161"/>
      <c r="J11" s="235" t="s">
        <v>94</v>
      </c>
      <c r="K11" s="141"/>
      <c r="L11" s="141"/>
      <c r="M11" s="141" t="s">
        <v>95</v>
      </c>
      <c r="N11" s="212" t="s">
        <v>96</v>
      </c>
      <c r="O11" s="141" t="s">
        <v>97</v>
      </c>
      <c r="P11" s="211"/>
      <c r="Q11" s="211"/>
      <c r="R11" s="211"/>
      <c r="S11" s="211"/>
    </row>
    <row s="2632" customFormat="1" customHeight="1" ht="14.25">
      <c r="A12" s="1938">
        <v>1</v>
      </c>
      <c r="B12" s="424"/>
      <c r="C12" s="768"/>
      <c r="D12" s="792"/>
      <c r="E12" s="205">
        <f>A12</f>
        <v>1</v>
      </c>
      <c r="F12" s="812" t="s">
        <v>98</v>
      </c>
      <c r="G12" s="548" t="str">
        <f>"Территория "&amp;E12</f>
        <v>Территория 1</v>
      </c>
      <c r="H12" s="802"/>
      <c r="I12" s="802"/>
      <c r="J12" s="799"/>
      <c r="K12" s="508"/>
      <c r="L12" s="508"/>
      <c r="M12" s="508"/>
      <c r="N12" s="212"/>
      <c r="O12" s="508"/>
      <c r="P12" s="211"/>
      <c r="Q12" s="211"/>
      <c r="R12" s="211"/>
      <c r="S12" s="211"/>
    </row>
    <row s="2641" customFormat="1" customHeight="1" ht="15">
      <c r="A13" s="1938"/>
      <c r="B13" s="424">
        <v>1</v>
      </c>
      <c r="C13" s="424"/>
      <c r="D13" s="810"/>
      <c r="E13" s="790" t="str">
        <f>A12&amp;"."&amp;B13</f>
        <v>1.1</v>
      </c>
      <c r="F13" s="805" t="s">
        <v>99</v>
      </c>
      <c r="G13" s="803" t="s">
        <v>100</v>
      </c>
      <c r="H13" s="803" t="s">
        <v>100</v>
      </c>
      <c r="I13" s="801" t="s">
        <v>101</v>
      </c>
      <c r="J13" s="508">
        <f>MERGEVALUE(G13)</f>
      </c>
      <c r="K13" s="519"/>
      <c r="L13" s="519"/>
      <c r="M13" s="508" t="str">
        <f t="array" ref="M13:M13">IF(ISERROR(MATCH(MID(N13,1,250),MID(note_ter,1,250),0)),"n","y")</f>
        <v>n</v>
      </c>
      <c r="N13" s="519"/>
      <c r="O13" s="508" t="str">
        <f>H13&amp;"("&amp;I13&amp;")"</f>
        <v>Уссурийский городской округ(05723000)</v>
      </c>
      <c r="P13" s="424"/>
      <c r="Q13" s="424"/>
      <c r="R13" s="427"/>
      <c r="S13" s="424"/>
      <c r="T13" s="424"/>
      <c r="U13" s="424"/>
      <c r="V13" s="429"/>
      <c r="W13" s="429"/>
      <c r="X13" s="426"/>
      <c r="Y13" s="426"/>
      <c r="Z13" s="426"/>
      <c r="AA13" s="426"/>
      <c r="AB13" s="426"/>
    </row>
    <row s="2641" customFormat="1" customHeight="1" ht="15">
      <c r="A14" s="1938"/>
      <c r="B14" s="424"/>
      <c r="C14" s="419"/>
      <c r="D14" s="811"/>
      <c r="E14" s="428"/>
      <c r="F14" s="163"/>
      <c r="G14" s="422" t="s">
        <v>102</v>
      </c>
      <c r="H14" s="173"/>
      <c r="I14" s="431"/>
      <c r="J14" s="519"/>
      <c r="K14" s="519"/>
      <c r="L14" s="519"/>
      <c r="M14" s="519"/>
      <c r="N14" s="508"/>
      <c r="O14" s="519"/>
      <c r="P14" s="424"/>
      <c r="Q14" s="424"/>
      <c r="R14" s="427"/>
      <c r="S14" s="424"/>
      <c r="T14" s="424"/>
      <c r="U14" s="424"/>
      <c r="V14" s="429"/>
      <c r="W14" s="429"/>
      <c r="X14" s="426"/>
      <c r="Y14" s="426"/>
      <c r="Z14" s="426"/>
      <c r="AA14" s="426"/>
      <c r="AB14" s="426"/>
    </row>
    <row s="2598" customFormat="1" customHeight="1" ht="14.25">
      <c r="A15" s="768"/>
      <c r="B15" s="424"/>
      <c r="C15" s="768"/>
      <c r="D15" s="792"/>
      <c r="E15" s="804"/>
      <c r="F15" s="164"/>
      <c r="G15" s="423" t="s">
        <v>103</v>
      </c>
      <c r="H15" s="164"/>
      <c r="I15" s="165"/>
      <c r="J15" s="235"/>
      <c r="K15" s="141"/>
      <c r="L15" s="141"/>
      <c r="M15" s="141"/>
      <c r="N15" s="212" t="s">
        <v>104</v>
      </c>
      <c r="O15" s="141"/>
      <c r="P15" s="211"/>
      <c r="Q15" s="211"/>
      <c r="R15" s="211"/>
      <c r="S15" s="211"/>
    </row>
    <row s="2598" customFormat="1" customHeight="1" ht="21">
      <c r="A16" s="768"/>
      <c r="B16" s="424"/>
      <c r="C16" s="768"/>
      <c r="D16" s="151"/>
      <c r="E16" s="166"/>
      <c r="F16" s="166"/>
      <c r="G16" s="166"/>
      <c r="H16" s="166"/>
      <c r="I16" s="166"/>
      <c r="J16" s="141"/>
      <c r="K16" s="141"/>
      <c r="L16" s="141"/>
      <c r="M16" s="141"/>
      <c r="N16" s="212"/>
      <c r="O16" s="141"/>
      <c r="P16" s="211"/>
      <c r="Q16" s="211"/>
      <c r="R16" s="211"/>
      <c r="S16" s="211"/>
    </row>
    <row s="2598" customFormat="1" customHeight="1" ht="14.25">
      <c r="A17" s="768"/>
      <c r="B17" s="424"/>
      <c r="C17" s="768"/>
      <c r="D17" s="151"/>
      <c r="E17" s="68"/>
      <c r="F17" s="768"/>
      <c r="G17" s="68"/>
      <c r="H17" s="68"/>
      <c r="I17" s="68"/>
      <c r="J17" s="141"/>
      <c r="K17" s="141"/>
      <c r="L17" s="141"/>
      <c r="M17" s="141"/>
      <c r="N17" s="212"/>
      <c r="O17" s="141"/>
      <c r="P17" s="211"/>
      <c r="Q17" s="211"/>
      <c r="R17" s="211"/>
      <c r="S17" s="211"/>
    </row>
    <row s="2598" customFormat="1" customHeight="1" ht="0.75">
      <c r="A18" s="768"/>
      <c r="B18" s="424"/>
      <c r="C18" s="768"/>
      <c r="D18" s="151"/>
      <c r="E18" s="68"/>
      <c r="F18" s="768"/>
      <c r="G18" s="68"/>
      <c r="H18" s="68"/>
      <c r="I18" s="68"/>
      <c r="J18" s="141"/>
      <c r="K18" s="141"/>
      <c r="L18" s="141"/>
      <c r="M18" s="141"/>
      <c r="N18" s="212"/>
      <c r="O18" s="141"/>
      <c r="P18" s="211"/>
      <c r="Q18" s="211"/>
      <c r="R18" s="211"/>
      <c r="S18" s="211"/>
    </row>
    <row s="2664" customFormat="1" customHeight="1" ht="10.5">
      <c r="B19" s="844"/>
      <c r="D19" s="168"/>
      <c r="J19" s="141"/>
      <c r="K19" s="141"/>
      <c r="L19" s="141"/>
      <c r="M19" s="141"/>
      <c r="N19" s="212"/>
      <c r="O19" s="141"/>
      <c r="P19" s="211"/>
      <c r="Q19" s="211"/>
      <c r="R19" s="211"/>
      <c r="S19" s="211"/>
    </row>
    <row s="2664"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7185D7-5044-F3F4-1543-DB3339FAC974}" mc:Ignorable="x14ac xr xr2 xr3">
  <sheetPr>
    <tabColor rgb="FFCCCCFF"/>
  </sheetPr>
  <dimension ref="A1:AL20"/>
  <sheetViews>
    <sheetView topLeftCell="A1" showGridLines="0" zoomScale="90" workbookViewId="0">
      <selection activeCell="E17" sqref="E17:E19"/>
    </sheetView>
  </sheetViews>
  <sheetFormatPr defaultColWidth="9.140625" customHeight="1" defaultRowHeight="11.25"/>
  <cols>
    <col min="1" max="1" style="2764" width="6.421875" hidden="1" customWidth="1"/>
    <col min="2" max="2" style="2764" width="2.00390625" hidden="1" customWidth="1"/>
    <col min="3" max="3" style="2764" width="3.7109375" customWidth="1"/>
    <col min="4" max="4" style="2764" width="4.28125" customWidth="1"/>
    <col min="5" max="5" style="2764" width="45.00390625" customWidth="1"/>
    <col min="6" max="6" style="2764" width="6.421875" customWidth="1"/>
    <col min="7" max="7" style="2764" width="4.421875" customWidth="1"/>
    <col min="8" max="8" style="2764" width="5.57421875" customWidth="1"/>
    <col min="9" max="9" style="2764" width="52.8515625" customWidth="1"/>
    <col min="10" max="10" style="2764" width="7.00390625" customWidth="1"/>
    <col min="11" max="11" style="2764" width="3.7109375" customWidth="1"/>
    <col min="12" max="12" style="2764" width="6.28125" customWidth="1"/>
    <col min="13" max="13" style="2764" width="56.28125" customWidth="1"/>
    <col min="14" max="14" style="2672" width="9.140625"/>
    <col min="15" max="20" style="2709" width="9.140625" hidden="1"/>
    <col min="21" max="24" style="2765" width="9.140625" hidden="1"/>
    <col min="25" max="37" style="2672" width="9.140625" hidden="1"/>
    <col min="38" max="38" style="2672" width="9.140625"/>
  </cols>
  <sheetData>
    <row customHeight="1" ht="11.25" hidden="1"/>
    <row customHeight="1" ht="11.25" hidden="1"/>
    <row r="4" customHeight="1" ht="34.5">
      <c r="A4" s="593"/>
      <c r="B4" s="593"/>
      <c r="D4" s="1958"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1959"/>
      <c r="F4" s="1959"/>
      <c r="G4" s="1959"/>
      <c r="H4" s="1959"/>
      <c r="I4" s="1960"/>
      <c r="J4" s="592"/>
      <c r="K4" s="592"/>
      <c r="L4" s="592"/>
      <c r="M4" s="592"/>
    </row>
    <row s="2673" customFormat="1" customHeight="1" ht="15">
      <c r="A5" s="593"/>
      <c r="B5" s="593"/>
      <c r="C5" s="593"/>
      <c r="D5" s="1961" t="str">
        <f>IF(org=0,"Не определено",org)</f>
        <v>МУП "Уссурийск-Водоканал"</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80"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3"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105</v>
      </c>
      <c r="E9" s="1966"/>
      <c r="F9" s="1967" t="s">
        <v>106</v>
      </c>
      <c r="G9" s="1968"/>
      <c r="H9" s="1968"/>
      <c r="I9" s="1968"/>
      <c r="J9" s="1971" t="s">
        <v>107</v>
      </c>
      <c r="K9" s="1971"/>
      <c r="L9" s="1971"/>
      <c r="M9" s="1971"/>
    </row>
    <row customHeight="1" ht="22.5">
      <c r="A10" s="1965"/>
      <c r="B10" s="600"/>
      <c r="C10" s="533"/>
      <c r="D10" s="531" t="s">
        <v>88</v>
      </c>
      <c r="E10" s="531" t="s">
        <v>89</v>
      </c>
      <c r="F10" s="531" t="s">
        <v>108</v>
      </c>
      <c r="G10" s="1972" t="s">
        <v>88</v>
      </c>
      <c r="H10" s="1973"/>
      <c r="I10" s="531" t="s">
        <v>89</v>
      </c>
      <c r="J10" s="531" t="s">
        <v>108</v>
      </c>
      <c r="K10" s="1972" t="s">
        <v>88</v>
      </c>
      <c r="L10" s="1973"/>
      <c r="M10" s="531" t="s">
        <v>89</v>
      </c>
      <c r="N10" s="1673"/>
    </row>
    <row s="2701" customFormat="1" customHeight="1" ht="11.25" hidden="1">
      <c r="A11" s="601"/>
      <c r="B11" s="601"/>
      <c r="C11" s="601"/>
      <c r="D11" s="602" t="s">
        <v>109</v>
      </c>
      <c r="E11" s="602" t="s">
        <v>110</v>
      </c>
      <c r="F11" s="602" t="s">
        <v>90</v>
      </c>
      <c r="G11" s="1954" t="s">
        <v>91</v>
      </c>
      <c r="H11" s="1955"/>
      <c r="I11" s="602" t="s">
        <v>111</v>
      </c>
      <c r="J11" s="602" t="s">
        <v>92</v>
      </c>
      <c r="K11" s="1956" t="s">
        <v>93</v>
      </c>
      <c r="L11" s="1957"/>
      <c r="M11" s="602" t="s">
        <v>112</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113</v>
      </c>
      <c r="P12" s="1449" t="s">
        <v>114</v>
      </c>
      <c r="Q12" s="1449" t="s">
        <v>115</v>
      </c>
      <c r="R12" s="1449" t="s">
        <v>116</v>
      </c>
    </row>
    <row s="2721" customFormat="1" customHeight="1" ht="15">
      <c r="A13" s="281"/>
      <c r="B13" s="281"/>
      <c r="C13" s="534"/>
      <c r="D13" s="1947" t="s">
        <v>109</v>
      </c>
      <c r="E13" s="1948" t="str">
        <f>INDEX(VD_NAME_LIST,MATCH("4189714",VD_ID_LIST,0))</f>
        <v>Водоотведение</v>
      </c>
      <c r="F13" s="1951" t="s">
        <v>56</v>
      </c>
      <c r="G13" s="1952"/>
      <c r="H13" s="1953">
        <v>1</v>
      </c>
      <c r="I13" s="2729" t="s">
        <v>18</v>
      </c>
      <c r="J13" s="1946" t="s">
        <v>58</v>
      </c>
      <c r="K13" s="610"/>
      <c r="L13" s="535" t="s">
        <v>109</v>
      </c>
      <c r="M13" s="2733" t="s">
        <v>117</v>
      </c>
      <c r="N13" s="822"/>
      <c r="O13" s="1452" t="s">
        <v>118</v>
      </c>
      <c r="P13" s="1449" t="str">
        <f>$E$13</f>
        <v>Водоотведение</v>
      </c>
      <c r="Q13" s="1449" t="str">
        <f>IF($F$13="нет","без дифференциации",$I$13)</f>
        <v>без дифференциации</v>
      </c>
      <c r="R13" s="1449" t="str">
        <f>IF($J$13="нет","без дифференциации",M13)</f>
        <v>Уссурийский  городской  округ</v>
      </c>
      <c r="S13" s="1452"/>
      <c r="T13" s="1452"/>
      <c r="U13" s="1301"/>
      <c r="V13" s="1301" t="s">
        <v>119</v>
      </c>
      <c r="W13" s="1301"/>
      <c r="X13" s="1301"/>
      <c r="Y13" s="612" t="s">
        <v>120</v>
      </c>
      <c r="Z13" s="612">
        <v>1705000</v>
      </c>
      <c r="AA13" s="612"/>
      <c r="AB13" s="612"/>
      <c r="AC13" s="612"/>
      <c r="AD13" s="612"/>
      <c r="AE13" s="612"/>
      <c r="AF13" s="612"/>
      <c r="AG13" s="612"/>
      <c r="AH13" s="612"/>
      <c r="AI13" s="612"/>
      <c r="AJ13" s="612"/>
      <c r="AK13" s="612"/>
      <c r="AL13" s="612"/>
    </row>
    <row customHeight="1" ht="29.166666666666668">
      <c r="A14" s="430"/>
      <c r="B14" s="430"/>
      <c r="C14" s="162"/>
      <c r="D14" s="1872"/>
      <c r="E14" s="1872"/>
      <c r="F14" s="1872"/>
      <c r="G14" s="1872"/>
      <c r="H14" s="1872"/>
      <c r="I14" s="1872"/>
      <c r="J14" s="1872"/>
      <c r="K14" s="1850" t="s">
        <v>121</v>
      </c>
      <c r="L14" s="1775" t="s">
        <v>110</v>
      </c>
      <c r="M14" s="821" t="s">
        <v>122</v>
      </c>
      <c r="N14" s="822"/>
      <c r="O14" s="612" t="s">
        <v>123</v>
      </c>
      <c r="P14" s="612" t="str">
        <f>$E$13</f>
        <v>Водоотведение</v>
      </c>
      <c r="Q14" s="612" t="str">
        <f>IF($F$13="нет","без дифференциации",$I$13)</f>
        <v>без дифференциации</v>
      </c>
      <c r="R14" s="612" t="str">
        <f>IF($J$14="нет","без дифференциации",$M$14)</f>
        <v>ООО " Промышленный  парк  Уссурийский " и  ООО                   "АльянсГрупп"</v>
      </c>
      <c r="S14" s="612"/>
      <c r="T14" s="612"/>
      <c r="U14" s="613"/>
      <c r="V14" s="612"/>
      <c r="W14" s="612"/>
      <c r="X14" s="603"/>
      <c r="Y14" s="603" t="s">
        <v>120</v>
      </c>
      <c r="Z14" s="603">
        <v>1705000</v>
      </c>
      <c r="AA14" s="603"/>
      <c r="AB14" s="603"/>
      <c r="AC14" s="603"/>
      <c r="AD14" s="603"/>
      <c r="AE14" s="603"/>
      <c r="AF14" s="603"/>
      <c r="AG14" s="603"/>
      <c r="AH14" s="603"/>
      <c r="AI14" s="603"/>
      <c r="AJ14" s="603"/>
      <c r="AK14" s="603"/>
      <c r="AL14" s="603"/>
    </row>
    <row s="2721" customFormat="1" customHeight="1" ht="15">
      <c r="A15" s="281"/>
      <c r="B15" s="281"/>
      <c r="C15" s="162"/>
      <c r="D15" s="1947"/>
      <c r="E15" s="1949"/>
      <c r="F15" s="1946"/>
      <c r="G15" s="1952"/>
      <c r="H15" s="1953"/>
      <c r="I15" s="2744" t="s">
        <v>18</v>
      </c>
      <c r="J15" s="1946"/>
      <c r="K15" s="428"/>
      <c r="L15" s="163"/>
      <c r="M15" s="615" t="s">
        <v>124</v>
      </c>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s="2721" customFormat="1" customHeight="1" ht="15">
      <c r="A16" s="281"/>
      <c r="B16" s="281"/>
      <c r="C16" s="162"/>
      <c r="D16" s="1947"/>
      <c r="E16" s="1950"/>
      <c r="F16" s="1946"/>
      <c r="G16" s="1073"/>
      <c r="H16" s="1074"/>
      <c r="I16" s="588" t="s">
        <v>125</v>
      </c>
      <c r="J16" s="163"/>
      <c r="K16" s="163"/>
      <c r="L16" s="163"/>
      <c r="M16" s="616"/>
      <c r="N16" s="822"/>
      <c r="O16" s="1452"/>
      <c r="P16" s="1449"/>
      <c r="Q16" s="1449"/>
      <c r="R16" s="1449"/>
      <c r="S16" s="1452"/>
      <c r="T16" s="1452"/>
      <c r="U16" s="1301"/>
      <c r="V16" s="1301"/>
      <c r="W16" s="1301"/>
      <c r="X16" s="1301"/>
      <c r="Y16" s="612"/>
      <c r="Z16" s="612"/>
      <c r="AA16" s="612"/>
      <c r="AB16" s="612"/>
      <c r="AC16" s="612"/>
      <c r="AD16" s="612"/>
      <c r="AE16" s="612"/>
      <c r="AF16" s="612"/>
      <c r="AG16" s="612"/>
      <c r="AH16" s="612"/>
      <c r="AI16" s="612"/>
      <c r="AJ16" s="612"/>
      <c r="AK16" s="612"/>
      <c r="AL16" s="612"/>
    </row>
    <row customHeight="1" ht="15">
      <c r="A17" s="430"/>
      <c r="B17" s="430"/>
      <c r="C17" s="1774" t="s">
        <v>121</v>
      </c>
      <c r="D17" s="1947" t="s">
        <v>110</v>
      </c>
      <c r="E17" s="2128" t="str">
        <f>INDEX(VD_NAME_LIST,MATCH("4189712",VD_ID_LIST,0))</f>
        <v>Подключение (технологическое присоединение) к централизованной системе водоотведения</v>
      </c>
      <c r="F17" s="1946" t="s">
        <v>56</v>
      </c>
      <c r="G17" s="2129"/>
      <c r="H17" s="1966">
        <v>1</v>
      </c>
      <c r="I17" s="2131" t="str">
        <f>IF(U17="","",INDEX(TERRITORY_MR_LIST,MATCH(U17,TERRITORY_LIST_ID,0)))</f>
        <v/>
      </c>
      <c r="J17" s="1946" t="s">
        <v>56</v>
      </c>
      <c r="K17" s="842"/>
      <c r="L17" s="1832" t="s">
        <v>109</v>
      </c>
      <c r="M17" s="611"/>
      <c r="N17" s="612"/>
      <c r="O17" s="612" t="s">
        <v>126</v>
      </c>
      <c r="P17" s="612" t="str">
        <f>$E$17</f>
        <v>Подключение (технологическое присоединение) к централизованной системе водоотведения</v>
      </c>
      <c r="Q17" s="612" t="str">
        <f>IF($F$17="нет","без дифференциации",$I$17)</f>
        <v>без дифференциации</v>
      </c>
      <c r="R17" s="612" t="str">
        <f>IF($J$17="нет","без дифференциации",$M$17)</f>
        <v>без дифференциации</v>
      </c>
      <c r="S17" s="612"/>
      <c r="T17" s="612"/>
      <c r="U17" s="613"/>
      <c r="V17" s="612" t="s">
        <v>127</v>
      </c>
      <c r="W17" s="612"/>
      <c r="X17" s="603"/>
      <c r="Y17" s="603" t="s">
        <v>120</v>
      </c>
      <c r="Z17" s="603">
        <v>1705000</v>
      </c>
      <c r="AA17" s="603"/>
      <c r="AB17" s="603"/>
      <c r="AC17" s="603"/>
      <c r="AD17" s="603"/>
      <c r="AE17" s="603"/>
      <c r="AF17" s="603"/>
      <c r="AG17" s="603"/>
      <c r="AH17" s="603"/>
      <c r="AI17" s="603"/>
      <c r="AJ17" s="603"/>
      <c r="AK17" s="603"/>
      <c r="AL17" s="603"/>
    </row>
    <row customHeight="1" ht="15">
      <c r="A18" s="430"/>
      <c r="B18" s="430"/>
      <c r="C18" s="162"/>
      <c r="D18" s="1947"/>
      <c r="E18" s="2128"/>
      <c r="F18" s="1946"/>
      <c r="G18" s="2130"/>
      <c r="H18" s="1966"/>
      <c r="I18" s="2132"/>
      <c r="J18" s="1946"/>
      <c r="K18" s="428"/>
      <c r="L18" s="163"/>
      <c r="M18" s="615" t="s">
        <v>124</v>
      </c>
      <c r="N18" s="612"/>
      <c r="O18" s="612"/>
      <c r="P18" s="612"/>
      <c r="Q18" s="612"/>
      <c r="R18" s="612"/>
      <c r="S18" s="612"/>
      <c r="T18" s="612"/>
      <c r="U18" s="613"/>
      <c r="V18" s="612"/>
      <c r="W18" s="612"/>
      <c r="X18" s="603"/>
      <c r="Y18" s="603"/>
      <c r="Z18" s="603"/>
      <c r="AA18" s="603"/>
      <c r="AB18" s="603"/>
      <c r="AC18" s="603"/>
      <c r="AD18" s="603"/>
      <c r="AE18" s="603"/>
      <c r="AF18" s="603"/>
      <c r="AG18" s="603"/>
      <c r="AH18" s="603"/>
      <c r="AI18" s="603"/>
      <c r="AJ18" s="603"/>
      <c r="AK18" s="603"/>
      <c r="AL18" s="603"/>
    </row>
    <row customHeight="1" ht="15">
      <c r="A19" s="430"/>
      <c r="B19" s="430"/>
      <c r="C19" s="162"/>
      <c r="D19" s="1947"/>
      <c r="E19" s="2128"/>
      <c r="F19" s="1946"/>
      <c r="G19" s="428"/>
      <c r="H19" s="163"/>
      <c r="I19" s="588" t="s">
        <v>125</v>
      </c>
      <c r="J19" s="163"/>
      <c r="K19" s="163"/>
      <c r="L19" s="163"/>
      <c r="M19" s="616"/>
      <c r="N19" s="612"/>
      <c r="O19" s="612"/>
      <c r="P19" s="612"/>
      <c r="Q19" s="612"/>
      <c r="R19" s="612"/>
      <c r="S19" s="612"/>
      <c r="T19" s="612"/>
      <c r="U19" s="613"/>
      <c r="V19" s="612"/>
      <c r="W19" s="612"/>
      <c r="X19" s="603"/>
      <c r="Y19" s="603"/>
      <c r="Z19" s="603"/>
      <c r="AA19" s="603"/>
      <c r="AB19" s="603"/>
      <c r="AC19" s="603"/>
      <c r="AD19" s="603"/>
      <c r="AE19" s="603"/>
      <c r="AF19" s="603"/>
      <c r="AG19" s="603"/>
      <c r="AH19" s="603"/>
      <c r="AI19" s="603"/>
      <c r="AJ19" s="603"/>
      <c r="AK19" s="603"/>
      <c r="AL19" s="603"/>
    </row>
    <row customHeight="1" ht="15">
      <c r="A20" s="617"/>
      <c r="B20" s="121"/>
      <c r="C20" s="816"/>
      <c r="D20" s="428"/>
      <c r="E20" s="579" t="s">
        <v>128</v>
      </c>
      <c r="F20" s="163"/>
      <c r="G20" s="163"/>
      <c r="H20" s="163"/>
      <c r="I20" s="163"/>
      <c r="J20" s="163"/>
      <c r="K20" s="163" t="s">
        <v>18</v>
      </c>
      <c r="L20" s="163"/>
      <c r="M20" s="616"/>
      <c r="N20" s="1673"/>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5"/>
    <mergeCell ref="J13:J15"/>
    <mergeCell ref="D13:D16"/>
    <mergeCell ref="E13:E16"/>
    <mergeCell ref="F13:F16"/>
    <mergeCell ref="G13:G15"/>
    <mergeCell ref="H13:H15"/>
    <mergeCell ref="D17:D19"/>
    <mergeCell ref="E17:E19"/>
    <mergeCell ref="F17:F19"/>
    <mergeCell ref="G17:G18"/>
    <mergeCell ref="H17:H18"/>
    <mergeCell ref="I17:I18"/>
    <mergeCell ref="J17:J18"/>
    <mergeCell ref="C17:C19"/>
  </mergeCells>
  <dataValidations count="4">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textLength" operator="lessThan" allowBlank="1" showInputMessage="1" showErrorMessage="1" error="Допускается ввод не более 900 символов!" sqref="M17">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81DD9E-08E9-798B-11C8-B148CB47EA68}"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67" width="3.7109375" hidden="1" customWidth="1"/>
    <col min="3" max="3" style="2868" width="3.7109375" customWidth="1"/>
    <col min="4" max="4" style="2868" width="6.140625" customWidth="1"/>
    <col min="5" max="5" style="2868" width="43.140625" customWidth="1"/>
    <col min="6" max="6" style="2842" width="15.00390625" customWidth="1"/>
    <col min="7" max="7" style="2868" width="43.140625" customWidth="1"/>
    <col min="8" max="8" style="2868" width="3.7109375" customWidth="1"/>
    <col min="9" max="9" style="2868" width="5.421875" customWidth="1"/>
    <col min="10" max="10" style="2868" width="47.8515625" customWidth="1"/>
    <col min="11" max="12" style="2868" width="3.7109375" customWidth="1"/>
    <col min="13" max="13" style="2868" width="5.7109375" customWidth="1"/>
    <col min="14" max="14" style="2868" width="28.140625" customWidth="1"/>
    <col min="15" max="16" style="2868" width="3.7109375" customWidth="1"/>
    <col min="17" max="17" style="2868" width="5.7109375" customWidth="1"/>
    <col min="18" max="18" style="2868" width="34.421875" customWidth="1"/>
    <col min="19" max="20" style="2869" width="3.7109375" hidden="1" customWidth="1"/>
    <col min="21" max="21" style="2869" width="5.7109375" hidden="1" customWidth="1"/>
    <col min="22" max="22" style="2869" width="34.421875" hidden="1" customWidth="1"/>
    <col min="23" max="23" style="2868" width="30.7109375" customWidth="1"/>
    <col min="24" max="24" style="2868" width="3.7109375" customWidth="1"/>
    <col min="25" max="28" style="2790" width="9.8515625" hidden="1" customWidth="1"/>
    <col min="29" max="29" style="2790" width="27.00390625" hidden="1" customWidth="1"/>
    <col min="30" max="30" style="2790" width="10.57421875" hidden="1" customWidth="1"/>
    <col min="31" max="31" style="2790" width="10.7109375" hidden="1" customWidth="1"/>
    <col min="32" max="32" style="2790" width="10.00390625" hidden="1" customWidth="1"/>
    <col min="33" max="33" style="2790" width="12.8515625" hidden="1" customWidth="1"/>
    <col min="34" max="34" style="2790" width="10.28125" hidden="1" customWidth="1"/>
    <col min="35" max="35" style="2790" width="15.8515625" hidden="1" customWidth="1"/>
    <col min="36" max="36" style="2790" width="19.421875" hidden="1" customWidth="1"/>
    <col min="37" max="37" style="2790" width="11.00390625" hidden="1" customWidth="1"/>
    <col min="38" max="38" style="2790" width="23.57421875" hidden="1" customWidth="1"/>
    <col min="39" max="39" style="2790" width="23.8515625" hidden="1" customWidth="1"/>
    <col min="40" max="40" style="2790" width="25.28125" hidden="1" customWidth="1"/>
    <col min="41" max="41" style="2790" width="16.8515625" hidden="1" customWidth="1"/>
    <col min="42" max="42" style="2790" width="29.57421875" hidden="1" customWidth="1"/>
    <col min="43" max="43" style="2790" width="29.8515625" hidden="1" customWidth="1"/>
    <col min="44" max="44" style="2868" width="9.140625" hidden="1"/>
  </cols>
  <sheetData>
    <row customHeight="1" ht="11.25" hidden="1">
      <c r="A1" s="142"/>
    </row>
    <row customHeight="1" ht="11.25" hidden="1"/>
    <row customHeight="1" ht="11.25" hidden="1"/>
    <row customHeight="1" ht="3"/>
    <row s="2767"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3" customFormat="1" customHeight="1" ht="15">
      <c r="A6" s="593"/>
      <c r="B6" s="593"/>
      <c r="C6" s="593"/>
      <c r="D6" s="2002" t="str">
        <f>IF(org=0,"Не определено",org)</f>
        <v>МУП "Уссурийск-Водоканал"</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77"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6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88</v>
      </c>
      <c r="E9" s="1940" t="s">
        <v>129</v>
      </c>
      <c r="F9" s="1942"/>
      <c r="G9" s="1966" t="s">
        <v>105</v>
      </c>
      <c r="H9" s="1966" t="s">
        <v>88</v>
      </c>
      <c r="I9" s="1966"/>
      <c r="J9" s="1966" t="s">
        <v>130</v>
      </c>
      <c r="K9" s="1994" t="s">
        <v>131</v>
      </c>
      <c r="L9" s="1994"/>
      <c r="M9" s="1994"/>
      <c r="N9" s="1994"/>
      <c r="O9" s="1994" t="s">
        <v>132</v>
      </c>
      <c r="P9" s="1994"/>
      <c r="Q9" s="1994"/>
      <c r="R9" s="1994"/>
      <c r="S9" s="1994" t="s">
        <v>133</v>
      </c>
      <c r="T9" s="1994"/>
      <c r="U9" s="1994"/>
      <c r="V9" s="1994"/>
      <c r="W9" s="1966" t="s">
        <v>134</v>
      </c>
    </row>
    <row customHeight="1" ht="30">
      <c r="D10" s="1966"/>
      <c r="E10" s="1320" t="s">
        <v>89</v>
      </c>
      <c r="F10" s="1320" t="s">
        <v>135</v>
      </c>
      <c r="G10" s="1966"/>
      <c r="H10" s="1966"/>
      <c r="I10" s="1966"/>
      <c r="J10" s="1966"/>
      <c r="K10" s="96" t="s">
        <v>108</v>
      </c>
      <c r="L10" s="1966" t="s">
        <v>88</v>
      </c>
      <c r="M10" s="1966"/>
      <c r="N10" s="96" t="s">
        <v>136</v>
      </c>
      <c r="O10" s="96" t="s">
        <v>108</v>
      </c>
      <c r="P10" s="1966" t="s">
        <v>88</v>
      </c>
      <c r="Q10" s="1966"/>
      <c r="R10" s="96" t="s">
        <v>136</v>
      </c>
      <c r="S10" s="271" t="s">
        <v>108</v>
      </c>
      <c r="T10" s="1966" t="s">
        <v>88</v>
      </c>
      <c r="U10" s="1966"/>
      <c r="V10" s="271" t="s">
        <v>89</v>
      </c>
      <c r="W10" s="1966"/>
      <c r="Z10" s="1294" t="s">
        <v>137</v>
      </c>
      <c r="AA10" s="1294" t="s">
        <v>138</v>
      </c>
      <c r="AB10" s="1294" t="s">
        <v>139</v>
      </c>
      <c r="AC10" s="1294" t="s">
        <v>140</v>
      </c>
      <c r="AD10" s="1294" t="s">
        <v>141</v>
      </c>
      <c r="AE10" s="1294" t="s">
        <v>142</v>
      </c>
      <c r="AF10" s="1294" t="s">
        <v>143</v>
      </c>
      <c r="AG10" s="1294" t="s">
        <v>144</v>
      </c>
      <c r="AH10" s="1294" t="s">
        <v>145</v>
      </c>
      <c r="AI10" s="1294" t="s">
        <v>146</v>
      </c>
      <c r="AJ10" s="1294" t="s">
        <v>147</v>
      </c>
      <c r="AK10" s="1294" t="s">
        <v>148</v>
      </c>
      <c r="AL10" s="1294" t="s">
        <v>149</v>
      </c>
      <c r="AM10" s="1294" t="s">
        <v>150</v>
      </c>
      <c r="AN10" s="1294" t="s">
        <v>151</v>
      </c>
      <c r="AO10" s="1294" t="s">
        <v>152</v>
      </c>
      <c r="AP10" s="1294" t="s">
        <v>153</v>
      </c>
      <c r="AQ10" s="1294" t="s">
        <v>154</v>
      </c>
    </row>
    <row s="2791" customFormat="1" customHeight="1" ht="12" hidden="1">
      <c r="D11" s="1274" t="s">
        <v>109</v>
      </c>
      <c r="E11" s="1274" t="s">
        <v>110</v>
      </c>
      <c r="F11" s="1274"/>
      <c r="G11" s="1274" t="s">
        <v>90</v>
      </c>
      <c r="H11" s="1995" t="s">
        <v>111</v>
      </c>
      <c r="I11" s="1995"/>
      <c r="J11" s="1274" t="s">
        <v>92</v>
      </c>
      <c r="K11" s="1274" t="s">
        <v>93</v>
      </c>
      <c r="L11" s="1995" t="s">
        <v>112</v>
      </c>
      <c r="M11" s="1995"/>
      <c r="N11" s="1274" t="s">
        <v>155</v>
      </c>
      <c r="O11" s="1274" t="s">
        <v>156</v>
      </c>
      <c r="P11" s="1995" t="s">
        <v>157</v>
      </c>
      <c r="Q11" s="1995"/>
      <c r="R11" s="1274" t="s">
        <v>158</v>
      </c>
      <c r="S11" s="1274" t="s">
        <v>157</v>
      </c>
      <c r="T11" s="1995" t="s">
        <v>158</v>
      </c>
      <c r="U11" s="1995"/>
      <c r="V11" s="1274" t="s">
        <v>159</v>
      </c>
      <c r="W11" s="1274" t="s">
        <v>160</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806" customFormat="1" customHeight="1" ht="17.25" hidden="1">
      <c r="A13" s="314"/>
      <c r="C13" s="195"/>
      <c r="D13" s="1980">
        <v>1</v>
      </c>
      <c r="E13" s="1982" t="s">
        <v>161</v>
      </c>
      <c r="F13" s="1984" t="s">
        <v>56</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162</v>
      </c>
      <c r="AD13" s="1302" t="s">
        <v>163</v>
      </c>
      <c r="AE13" s="1302" t="s">
        <v>164</v>
      </c>
      <c r="AF13" s="1302" t="s">
        <v>165</v>
      </c>
      <c r="AG13" s="1302" t="s">
        <v>166</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806" customFormat="1" customHeight="1" ht="17.25" hidden="1">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31" customFormat="1" customHeight="1" ht="17.25" hidden="1">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31" customFormat="1" customHeight="1" ht="17.25" hidden="1">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806" customFormat="1" customHeight="1" ht="17.25" hidden="1">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42" customFormat="1" customHeight="1" ht="17.25" hidden="1">
      <c r="A18" s="314"/>
      <c r="C18" s="195"/>
      <c r="D18" s="1980">
        <v>2</v>
      </c>
      <c r="E18" s="1982" t="s">
        <v>167</v>
      </c>
      <c r="F18" s="1984" t="s">
        <v>56</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168</v>
      </c>
      <c r="AD18" s="1302" t="s">
        <v>169</v>
      </c>
      <c r="AE18" s="1302" t="s">
        <v>170</v>
      </c>
      <c r="AF18" s="1302" t="s">
        <v>171</v>
      </c>
      <c r="AG18" s="1302" t="s">
        <v>172</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42" customFormat="1" customHeight="1" ht="17.25" hidden="1">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42" customFormat="1" customHeight="1" ht="17.25" hidden="1">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42" customFormat="1" customHeight="1" ht="17.25" hidden="1">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42" customFormat="1" customHeight="1" ht="17.25" hidden="1">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42" customFormat="1" customHeight="1" ht="17.25" hidden="1">
      <c r="A23" s="314"/>
      <c r="C23" s="195"/>
      <c r="D23" s="1980">
        <v>3</v>
      </c>
      <c r="E23" s="1982" t="s">
        <v>173</v>
      </c>
      <c r="F23" s="1984" t="s">
        <v>56</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174</v>
      </c>
      <c r="AD23" s="1302" t="s">
        <v>175</v>
      </c>
      <c r="AE23" s="1302" t="s">
        <v>176</v>
      </c>
      <c r="AF23" s="1302" t="s">
        <v>177</v>
      </c>
      <c r="AG23" s="1302" t="s">
        <v>178</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42" customFormat="1" customHeight="1" ht="17.25" hidden="1">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42" customFormat="1" customHeight="1" ht="17.25" hidden="1">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42" customFormat="1" customHeight="1" ht="17.25" hidden="1">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42" customFormat="1" customHeight="1" ht="17.25" hidden="1">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42" customFormat="1" customHeight="1" ht="17.25" hidden="1">
      <c r="A28" s="314"/>
      <c r="C28" s="195"/>
      <c r="D28" s="1980">
        <v>4</v>
      </c>
      <c r="E28" s="1982" t="s">
        <v>179</v>
      </c>
      <c r="F28" s="1984" t="s">
        <v>56</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180</v>
      </c>
      <c r="AD28" s="1302" t="s">
        <v>181</v>
      </c>
      <c r="AE28" s="1302" t="s">
        <v>182</v>
      </c>
      <c r="AF28" s="1302" t="s">
        <v>183</v>
      </c>
      <c r="AG28" s="1302" t="s">
        <v>184</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42" customFormat="1" customHeight="1" ht="17.25" hidden="1">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42" customFormat="1" customHeight="1" ht="17.25" hidden="1">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42" customFormat="1" customHeight="1" ht="17.25" hidden="1">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42" customFormat="1" customHeight="1" ht="17.25" hidden="1">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42" customFormat="1" customHeight="1" ht="17.25" hidden="1">
      <c r="A33" s="314"/>
      <c r="C33" s="195"/>
      <c r="D33" s="1980">
        <v>5</v>
      </c>
      <c r="E33" s="1982" t="s">
        <v>185</v>
      </c>
      <c r="F33" s="1984" t="s">
        <v>56</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186</v>
      </c>
      <c r="AD33" s="1302" t="s">
        <v>187</v>
      </c>
      <c r="AE33" s="1302" t="s">
        <v>188</v>
      </c>
      <c r="AF33" s="1302" t="s">
        <v>189</v>
      </c>
      <c r="AG33" s="1302" t="s">
        <v>190</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42" customFormat="1" customHeight="1" ht="17.25" hidden="1">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42" customFormat="1" customHeight="1" ht="17.25" hidden="1">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42" customFormat="1" customHeight="1" ht="17.25" hidden="1">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42" customFormat="1" customHeight="1" ht="17.25" hidden="1">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42" customFormat="1" customHeight="1" ht="17.25" hidden="1">
      <c r="A38" s="314"/>
      <c r="C38" s="195"/>
      <c r="D38" s="1980">
        <v>6</v>
      </c>
      <c r="E38" s="1982" t="s">
        <v>191</v>
      </c>
      <c r="F38" s="1984" t="s">
        <v>56</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192</v>
      </c>
      <c r="AD38" s="1302" t="s">
        <v>193</v>
      </c>
      <c r="AE38" s="1302" t="s">
        <v>194</v>
      </c>
      <c r="AF38" s="1302" t="s">
        <v>195</v>
      </c>
      <c r="AG38" s="1302" t="s">
        <v>196</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42" customFormat="1" customHeight="1" ht="17.25" hidden="1">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42" customFormat="1" customHeight="1" ht="17.25" hidden="1">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44" customFormat="1" customHeight="1" ht="17.25" hidden="1">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42" customFormat="1" customHeight="1" ht="17.25" hidden="1">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45" customFormat="1" customHeight="1" ht="17.25" hidden="1">
      <c r="A43" s="314"/>
      <c r="C43" s="195"/>
      <c r="D43" s="2003">
        <v>7</v>
      </c>
      <c r="E43" s="2006" t="s">
        <v>197</v>
      </c>
      <c r="F43" s="1984" t="s">
        <v>56</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198</v>
      </c>
      <c r="AD43" s="1302" t="s">
        <v>199</v>
      </c>
      <c r="AE43" s="1302" t="s">
        <v>200</v>
      </c>
      <c r="AF43" s="1302" t="s">
        <v>201</v>
      </c>
      <c r="AG43" s="1302" t="s">
        <v>202</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45" customFormat="1" customHeight="1" ht="17.25" hidden="1">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45" customFormat="1" customHeight="1" ht="17.25" hidden="1">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44" customFormat="1" customHeight="1" ht="17.25" hidden="1">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45" customFormat="1" customHeight="1" ht="17.25" hidden="1">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45" customFormat="1" customHeight="1" ht="17.25" hidden="1">
      <c r="A48" s="314"/>
      <c r="C48" s="195"/>
      <c r="D48" s="1980">
        <v>8</v>
      </c>
      <c r="E48" s="1982" t="s">
        <v>203</v>
      </c>
      <c r="F48" s="1984" t="s">
        <v>56</v>
      </c>
      <c r="G48" s="1982"/>
      <c r="H48" s="1987"/>
      <c r="I48" s="1989"/>
      <c r="J48" s="1991"/>
      <c r="K48" s="1974"/>
      <c r="L48" s="1974"/>
      <c r="M48" s="1974"/>
      <c r="N48" s="1976"/>
      <c r="O48" s="1974"/>
      <c r="P48" s="1974"/>
      <c r="Q48" s="1974"/>
      <c r="R48" s="1979"/>
      <c r="S48" s="1974"/>
      <c r="T48" s="1506"/>
      <c r="U48" s="1506"/>
      <c r="V48" s="1508"/>
      <c r="W48" s="1332"/>
      <c r="X48" s="1302"/>
      <c r="Y48" s="1302"/>
      <c r="Z48" s="1302"/>
      <c r="AA48" s="1302"/>
      <c r="AB48" s="1302"/>
      <c r="AC48" s="1302" t="s">
        <v>204</v>
      </c>
      <c r="AD48" s="1302" t="s">
        <v>205</v>
      </c>
      <c r="AE48" s="1302" t="s">
        <v>206</v>
      </c>
      <c r="AF48" s="1302" t="s">
        <v>207</v>
      </c>
      <c r="AG48" s="1302" t="s">
        <v>208</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1">
        <f>$I$48</f>
        <v>0</v>
      </c>
      <c r="AO48" s="1302" t="str">
        <f>$I$48&amp;"."&amp;$M$48</f>
        <v>.</v>
      </c>
      <c r="AP48" s="1294" t="str">
        <f>$I$48&amp;"."&amp;$M$48&amp;"."&amp;$Q$48</f>
        <v>..</v>
      </c>
      <c r="AQ48" s="1294" t="str">
        <f>$I$48&amp;"."&amp;$M$48&amp;"."&amp;$Q$48&amp;"."&amp;$U$48</f>
        <v>...</v>
      </c>
    </row>
    <row s="2845" customFormat="1" customHeight="1" ht="17.25" hidden="1">
      <c r="A49" s="314"/>
      <c r="C49" s="313"/>
      <c r="D49" s="1980"/>
      <c r="E49" s="1982"/>
      <c r="F49" s="1985"/>
      <c r="G49" s="1982"/>
      <c r="H49" s="1988"/>
      <c r="I49" s="1990"/>
      <c r="J49" s="1992"/>
      <c r="K49" s="1975"/>
      <c r="L49" s="1975"/>
      <c r="M49" s="1975"/>
      <c r="N49" s="1977"/>
      <c r="O49" s="1975"/>
      <c r="P49" s="1975"/>
      <c r="Q49" s="1975"/>
      <c r="R49" s="1978"/>
      <c r="S49" s="1975"/>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45" customFormat="1" customHeight="1" ht="17.25" hidden="1">
      <c r="A50" s="314"/>
      <c r="C50" s="313"/>
      <c r="D50" s="1981"/>
      <c r="E50" s="1983"/>
      <c r="F50" s="1985"/>
      <c r="G50" s="1983"/>
      <c r="H50" s="1988"/>
      <c r="I50" s="1990"/>
      <c r="J50" s="1993"/>
      <c r="K50" s="1975"/>
      <c r="L50" s="1975"/>
      <c r="M50" s="1975"/>
      <c r="N50" s="1978"/>
      <c r="O50" s="1975"/>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44" customFormat="1" customHeight="1" ht="17.25" hidden="1">
      <c r="A51" s="314"/>
      <c r="C51" s="195"/>
      <c r="D51" s="1981"/>
      <c r="E51" s="1983"/>
      <c r="F51" s="1985"/>
      <c r="G51" s="1983"/>
      <c r="H51" s="1988"/>
      <c r="I51" s="1990"/>
      <c r="J51" s="1993"/>
      <c r="K51" s="1975"/>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45" customFormat="1" customHeight="1" ht="17.25" hidden="1">
      <c r="A52" s="314"/>
      <c r="C52" s="313"/>
      <c r="D52" s="1981"/>
      <c r="E52" s="1983"/>
      <c r="F52" s="1986"/>
      <c r="G52" s="1983"/>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hidden="1"/>
    <row customHeight="1" ht="11.25" hidden="1">
      <c r="E54" s="2011" t="s">
        <v>209</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210</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211</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212</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213</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21"/>
      <c r="G59" s="143"/>
      <c r="H59" s="143"/>
      <c r="I59" s="143"/>
      <c r="J59" s="143"/>
      <c r="K59" s="143"/>
      <c r="L59" s="143"/>
      <c r="M59" s="143"/>
      <c r="N59" s="143"/>
      <c r="O59" s="143"/>
      <c r="P59" s="143"/>
      <c r="Q59" s="143"/>
      <c r="R59" s="143"/>
      <c r="S59" s="143"/>
      <c r="T59" s="143"/>
      <c r="U59" s="143"/>
      <c r="V59" s="143"/>
      <c r="W59" s="143"/>
    </row>
    <row customHeight="1" ht="15" hidden="1">
      <c r="E60" s="2011" t="s">
        <v>214</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215</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216</v>
      </c>
      <c r="F62" s="2009"/>
      <c r="G62" s="2010"/>
      <c r="H62" s="2010"/>
      <c r="I62" s="2010"/>
      <c r="J62" s="2010"/>
      <c r="K62" s="2010"/>
      <c r="L62" s="2010"/>
      <c r="M62" s="2010"/>
      <c r="N62" s="2010"/>
      <c r="O62" s="2010"/>
      <c r="P62" s="2010"/>
      <c r="Q62" s="2010"/>
      <c r="R62" s="2010"/>
      <c r="S62" s="2010"/>
      <c r="T62" s="2010"/>
      <c r="U62" s="2010"/>
      <c r="V62" s="2010"/>
      <c r="W62" s="2010"/>
    </row>
    <row s="2861"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61" customFormat="1" customHeight="1" ht="17.25" hidden="1">
      <c r="A64" s="314"/>
      <c r="C64" s="195"/>
      <c r="D64" s="1980">
        <v>1</v>
      </c>
      <c r="E64" s="1982" t="s">
        <v>217</v>
      </c>
      <c r="F64" s="1984" t="s">
        <v>56</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218</v>
      </c>
      <c r="AD64" s="1302" t="s">
        <v>219</v>
      </c>
      <c r="AE64" s="1302" t="s">
        <v>220</v>
      </c>
      <c r="AF64" s="1302" t="s">
        <v>221</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61" customFormat="1" customHeight="1" ht="17.25" hidden="1">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862" customFormat="1" customHeight="1" ht="17.25" hidden="1">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862" customFormat="1" customHeight="1" ht="17.25" hidden="1">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61" customFormat="1" customHeight="1" ht="17.25" hidden="1">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61" customFormat="1" customHeight="1" ht="17.25" hidden="1">
      <c r="A69" s="314"/>
      <c r="C69" s="195"/>
      <c r="D69" s="1980">
        <v>2</v>
      </c>
      <c r="E69" s="1982" t="s">
        <v>222</v>
      </c>
      <c r="F69" s="1984" t="s">
        <v>56</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223</v>
      </c>
      <c r="AD69" s="1302" t="s">
        <v>224</v>
      </c>
      <c r="AE69" s="1302" t="s">
        <v>225</v>
      </c>
      <c r="AF69" s="1302" t="s">
        <v>226</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61" customFormat="1" customHeight="1" ht="17.25" hidden="1">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61" customFormat="1" customHeight="1" ht="17.25" hidden="1">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61" customFormat="1" customHeight="1" ht="17.25" hidden="1">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61" customFormat="1" customHeight="1" ht="17.25" hidden="1">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61" customFormat="1" customHeight="1" ht="17.25" hidden="1">
      <c r="A74" s="314"/>
      <c r="C74" s="195"/>
      <c r="D74" s="1980">
        <v>3</v>
      </c>
      <c r="E74" s="1982" t="s">
        <v>227</v>
      </c>
      <c r="F74" s="1984" t="s">
        <v>56</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228</v>
      </c>
      <c r="AD74" s="1302" t="s">
        <v>229</v>
      </c>
      <c r="AE74" s="1302" t="s">
        <v>230</v>
      </c>
      <c r="AF74" s="1302" t="s">
        <v>231</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61" customFormat="1" customHeight="1" ht="17.25" hidden="1">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61" customFormat="1" customHeight="1" ht="17.25" hidden="1">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61" customFormat="1" customHeight="1" ht="17.25" hidden="1">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61" customFormat="1" customHeight="1" ht="17.25" hidden="1">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61" customFormat="1" customHeight="1" ht="17.25" hidden="1">
      <c r="A79" s="314"/>
      <c r="C79" s="195"/>
      <c r="D79" s="1980">
        <v>4</v>
      </c>
      <c r="E79" s="1982" t="s">
        <v>232</v>
      </c>
      <c r="F79" s="1984" t="s">
        <v>56</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233</v>
      </c>
      <c r="AD79" s="1302" t="s">
        <v>234</v>
      </c>
      <c r="AE79" s="1302" t="s">
        <v>235</v>
      </c>
      <c r="AF79" s="1302" t="s">
        <v>236</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61" customFormat="1" customHeight="1" ht="17.25" hidden="1">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61" customFormat="1" customHeight="1" ht="17.25" hidden="1">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61" customFormat="1" customHeight="1" ht="17.25" hidden="1">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61" customFormat="1" customHeight="1" ht="17.25" hidden="1">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61" customFormat="1" customHeight="1" ht="17.25" hidden="1">
      <c r="A84" s="314"/>
      <c r="C84" s="195"/>
      <c r="D84" s="1980">
        <v>5</v>
      </c>
      <c r="E84" s="1982" t="s">
        <v>237</v>
      </c>
      <c r="F84" s="1984" t="s">
        <v>56</v>
      </c>
      <c r="G84" s="1982"/>
      <c r="H84" s="1987"/>
      <c r="I84" s="1989"/>
      <c r="J84" s="1991"/>
      <c r="K84" s="1974"/>
      <c r="L84" s="1974"/>
      <c r="M84" s="1974"/>
      <c r="N84" s="1976"/>
      <c r="O84" s="1974"/>
      <c r="P84" s="1974"/>
      <c r="Q84" s="1974"/>
      <c r="R84" s="1979"/>
      <c r="S84" s="1974"/>
      <c r="T84" s="1506"/>
      <c r="U84" s="1506"/>
      <c r="V84" s="1508"/>
      <c r="W84" s="1332"/>
      <c r="X84" s="1302"/>
      <c r="Y84" s="1302"/>
      <c r="Z84" s="1302"/>
      <c r="AA84" s="1302"/>
      <c r="AB84" s="1302"/>
      <c r="AC84" s="1302" t="s">
        <v>238</v>
      </c>
      <c r="AD84" s="1302" t="s">
        <v>239</v>
      </c>
      <c r="AE84" s="1302" t="s">
        <v>240</v>
      </c>
      <c r="AF84" s="1302" t="s">
        <v>241</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61" customFormat="1" customHeight="1" ht="17.25" hidden="1">
      <c r="A85" s="314"/>
      <c r="C85" s="313"/>
      <c r="D85" s="1980"/>
      <c r="E85" s="1982"/>
      <c r="F85" s="1985"/>
      <c r="G85" s="1982"/>
      <c r="H85" s="1988"/>
      <c r="I85" s="1990"/>
      <c r="J85" s="1992"/>
      <c r="K85" s="1975"/>
      <c r="L85" s="1975"/>
      <c r="M85" s="1975"/>
      <c r="N85" s="1977"/>
      <c r="O85" s="1975"/>
      <c r="P85" s="1975"/>
      <c r="Q85" s="1975"/>
      <c r="R85" s="1978"/>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61" customFormat="1" customHeight="1" ht="17.25" hidden="1">
      <c r="A86" s="314"/>
      <c r="C86" s="313"/>
      <c r="D86" s="1981"/>
      <c r="E86" s="1983"/>
      <c r="F86" s="1985"/>
      <c r="G86" s="1983"/>
      <c r="H86" s="1988"/>
      <c r="I86" s="1990"/>
      <c r="J86" s="1993"/>
      <c r="K86" s="1975"/>
      <c r="L86" s="1975"/>
      <c r="M86" s="1975"/>
      <c r="N86" s="1978"/>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61" customFormat="1" customHeight="1" ht="17.25" hidden="1">
      <c r="A87" s="314"/>
      <c r="C87" s="313"/>
      <c r="D87" s="1981"/>
      <c r="E87" s="1983"/>
      <c r="F87" s="1985"/>
      <c r="G87" s="1983"/>
      <c r="H87" s="1988"/>
      <c r="I87" s="1990"/>
      <c r="J87" s="1993"/>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61" customFormat="1" customHeight="1" ht="17.25" hidden="1">
      <c r="A88" s="314"/>
      <c r="C88" s="313"/>
      <c r="D88" s="1981"/>
      <c r="E88" s="1983"/>
      <c r="F88" s="1986"/>
      <c r="G88" s="1983"/>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866"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866" customFormat="1" customHeight="1" ht="17.25" hidden="1">
      <c r="A90" s="314"/>
      <c r="C90" s="195"/>
      <c r="D90" s="1980">
        <v>1</v>
      </c>
      <c r="E90" s="1982" t="s">
        <v>242</v>
      </c>
      <c r="F90" s="1984" t="s">
        <v>56</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243</v>
      </c>
      <c r="AD90" s="1302" t="s">
        <v>244</v>
      </c>
      <c r="AE90" s="1302" t="s">
        <v>245</v>
      </c>
      <c r="AF90" s="1302" t="s">
        <v>246</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866"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866"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866"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866"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866" customFormat="1" customHeight="1" ht="17.25" hidden="1">
      <c r="A95" s="314"/>
      <c r="C95" s="195"/>
      <c r="D95" s="1980">
        <v>2</v>
      </c>
      <c r="E95" s="1982" t="s">
        <v>247</v>
      </c>
      <c r="F95" s="1984" t="s">
        <v>56</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248</v>
      </c>
      <c r="AD95" s="1302" t="s">
        <v>249</v>
      </c>
      <c r="AE95" s="1302" t="s">
        <v>250</v>
      </c>
      <c r="AF95" s="1302" t="s">
        <v>251</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866"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866"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866"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866"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866" customFormat="1" customHeight="1" ht="17.25" hidden="1">
      <c r="A100" s="314"/>
      <c r="C100" s="195"/>
      <c r="D100" s="1980">
        <v>3</v>
      </c>
      <c r="E100" s="1982" t="s">
        <v>252</v>
      </c>
      <c r="F100" s="1984" t="s">
        <v>56</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253</v>
      </c>
      <c r="AD100" s="1302" t="s">
        <v>254</v>
      </c>
      <c r="AE100" s="1302" t="s">
        <v>255</v>
      </c>
      <c r="AF100" s="1302" t="s">
        <v>256</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866"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866"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866"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866"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866"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866" customFormat="1" customHeight="1" ht="17.25" hidden="1">
      <c r="A106" s="314"/>
      <c r="C106" s="195"/>
      <c r="D106" s="1980">
        <v>1</v>
      </c>
      <c r="E106" s="1982" t="s">
        <v>257</v>
      </c>
      <c r="F106" s="1984" t="s">
        <v>56</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258</v>
      </c>
      <c r="AD106" s="1302" t="s">
        <v>259</v>
      </c>
      <c r="AE106" s="1302" t="s">
        <v>260</v>
      </c>
      <c r="AF106" s="1302" t="s">
        <v>261</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866" customFormat="1" customHeight="1" ht="17.25" hidden="1">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866" customFormat="1" customHeight="1" ht="17.25" hidden="1">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866" customFormat="1" customHeight="1" ht="17.25" hidden="1">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866" customFormat="1" customHeight="1" ht="17.25" hidden="1">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866" customFormat="1" customHeight="1" ht="17.25" hidden="1">
      <c r="A111" s="314"/>
      <c r="C111" s="195"/>
      <c r="D111" s="1980">
        <v>2</v>
      </c>
      <c r="E111" s="1982" t="s">
        <v>262</v>
      </c>
      <c r="F111" s="1984" t="s">
        <v>56</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263</v>
      </c>
      <c r="AD111" s="1302" t="s">
        <v>264</v>
      </c>
      <c r="AE111" s="1302" t="s">
        <v>265</v>
      </c>
      <c r="AF111" s="1302" t="s">
        <v>266</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866" customFormat="1" customHeight="1" ht="17.25" hidden="1">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866" customFormat="1" customHeight="1" ht="17.25" hidden="1">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866" customFormat="1" customHeight="1" ht="17.25" hidden="1">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866" customFormat="1" customHeight="1" ht="17.25" hidden="1">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866" customFormat="1" customHeight="1" ht="17.25" hidden="1">
      <c r="A116" s="314"/>
      <c r="C116" s="195"/>
      <c r="D116" s="1980">
        <v>3</v>
      </c>
      <c r="E116" s="1982" t="s">
        <v>267</v>
      </c>
      <c r="F116" s="1984" t="s">
        <v>56</v>
      </c>
      <c r="G116" s="1982"/>
      <c r="H116" s="1987"/>
      <c r="I116" s="1989"/>
      <c r="J116" s="1991"/>
      <c r="K116" s="1974"/>
      <c r="L116" s="1974"/>
      <c r="M116" s="1974"/>
      <c r="N116" s="1976"/>
      <c r="O116" s="1974"/>
      <c r="P116" s="1974"/>
      <c r="Q116" s="1974"/>
      <c r="R116" s="1979"/>
      <c r="S116" s="1974"/>
      <c r="T116" s="1506"/>
      <c r="U116" s="1506"/>
      <c r="V116" s="1508"/>
      <c r="W116" s="1332"/>
      <c r="X116" s="1302"/>
      <c r="Y116" s="1302"/>
      <c r="Z116" s="1302"/>
      <c r="AA116" s="1302"/>
      <c r="AB116" s="1302"/>
      <c r="AC116" s="1302" t="s">
        <v>268</v>
      </c>
      <c r="AD116" s="1302" t="s">
        <v>269</v>
      </c>
      <c r="AE116" s="1302" t="s">
        <v>270</v>
      </c>
      <c r="AF116" s="1302" t="s">
        <v>271</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866" customFormat="1" customHeight="1" ht="17.25" hidden="1">
      <c r="A117" s="314"/>
      <c r="C117" s="313"/>
      <c r="D117" s="1980"/>
      <c r="E117" s="1982"/>
      <c r="F117" s="1985"/>
      <c r="G117" s="1982"/>
      <c r="H117" s="1988"/>
      <c r="I117" s="1990"/>
      <c r="J117" s="1992"/>
      <c r="K117" s="1975"/>
      <c r="L117" s="1975"/>
      <c r="M117" s="1975"/>
      <c r="N117" s="1977"/>
      <c r="O117" s="1975"/>
      <c r="P117" s="1975"/>
      <c r="Q117" s="1975"/>
      <c r="R117" s="1978"/>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866" customFormat="1" customHeight="1" ht="17.25" hidden="1">
      <c r="A118" s="314"/>
      <c r="C118" s="313"/>
      <c r="D118" s="1981"/>
      <c r="E118" s="1983"/>
      <c r="F118" s="1985"/>
      <c r="G118" s="1983"/>
      <c r="H118" s="1988"/>
      <c r="I118" s="1990"/>
      <c r="J118" s="1993"/>
      <c r="K118" s="1975"/>
      <c r="L118" s="1975"/>
      <c r="M118" s="1975"/>
      <c r="N118" s="1978"/>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866" customFormat="1" customHeight="1" ht="17.25" hidden="1">
      <c r="A119" s="314"/>
      <c r="C119" s="313"/>
      <c r="D119" s="1981"/>
      <c r="E119" s="1983"/>
      <c r="F119" s="1985"/>
      <c r="G119" s="1983"/>
      <c r="H119" s="1988"/>
      <c r="I119" s="1990"/>
      <c r="J119" s="1993"/>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866" customFormat="1" customHeight="1" ht="17.25" hidden="1">
      <c r="A120" s="314"/>
      <c r="C120" s="313"/>
      <c r="D120" s="1981"/>
      <c r="E120" s="1983"/>
      <c r="F120" s="1986"/>
      <c r="G120" s="1983"/>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F52A09-FBFD-41CD-B652-B2CB1E949FD1}"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22" width="9.140625" hidden="1"/>
    <col min="3" max="4" style="2722" width="3.7109375" customWidth="1"/>
    <col min="5" max="6" style="2722" width="16.00390625" customWidth="1"/>
    <col min="7" max="7" style="2722" width="11.57421875" customWidth="1"/>
    <col min="8" max="9" style="2722" width="3.7109375" customWidth="1"/>
    <col min="10" max="10" style="2722" width="13.140625" customWidth="1"/>
    <col min="11" max="11" style="2722" width="0.28125" customWidth="1"/>
    <col min="12" max="13" style="2722" width="10.7109375" customWidth="1"/>
    <col min="14" max="15" style="2722" width="3.7109375" customWidth="1"/>
    <col min="16" max="16" style="2722" width="19.7109375" customWidth="1"/>
    <col min="17" max="17" style="2722" width="0.28125" customWidth="1"/>
    <col min="18" max="19" style="2722" width="10.7109375" customWidth="1"/>
    <col min="20" max="21" style="2722" width="3.7109375" customWidth="1"/>
    <col min="22" max="22" style="2722" width="25.7109375" customWidth="1"/>
    <col min="23" max="23" style="2722" width="0.28125" customWidth="1"/>
    <col min="24" max="25" style="2722" width="10.7109375" customWidth="1"/>
    <col min="26" max="27" style="2722" width="3.7109375" customWidth="1"/>
    <col min="28" max="28" style="2722" width="16.421875" customWidth="1"/>
    <col min="29" max="29" style="2722" width="0.28125" customWidth="1"/>
    <col min="30" max="31" style="2722" width="10.7109375" customWidth="1"/>
    <col min="32" max="33" style="2722" width="3.7109375" customWidth="1"/>
    <col min="34" max="34" style="2722" width="8.7109375" customWidth="1"/>
    <col min="35" max="35" style="2722" width="21.7109375" customWidth="1"/>
    <col min="36" max="36" style="2641" width="9.140625"/>
    <col min="37" max="37" style="2874" width="9.140625"/>
    <col min="38" max="64" style="2641" width="9.140625"/>
  </cols>
  <sheetData>
    <row s="2649"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870" customFormat="1" customHeight="1" ht="11.25" hidden="1">
      <c r="L2" s="1599" t="s">
        <v>272</v>
      </c>
      <c r="M2" s="1599" t="s">
        <v>273</v>
      </c>
      <c r="R2" s="1599" t="s">
        <v>274</v>
      </c>
      <c r="S2" s="1599" t="s">
        <v>273</v>
      </c>
      <c r="X2" s="1599" t="s">
        <v>272</v>
      </c>
      <c r="Y2" s="1599" t="s">
        <v>273</v>
      </c>
      <c r="AD2" s="1599" t="s">
        <v>272</v>
      </c>
      <c r="AE2" s="1599" t="s">
        <v>273</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872"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2" customFormat="1" customHeight="1" ht="33">
      <c r="A4" s="1170"/>
      <c r="B4" s="1169"/>
      <c r="C4" s="1551"/>
      <c r="D4" s="2028" t="s">
        <v>275</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883" customFormat="1" customHeight="1" ht="14.25">
      <c r="A5" s="1678"/>
      <c r="B5" s="1677"/>
      <c r="C5" s="1551"/>
      <c r="D5" s="2013" t="str">
        <f>IF(org=0,"Не определено",org)</f>
        <v>МУП "Уссурийск-Водоканал"</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2"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9"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88</v>
      </c>
      <c r="E8" s="1966" t="s">
        <v>105</v>
      </c>
      <c r="F8" s="2029" t="s">
        <v>129</v>
      </c>
      <c r="G8" s="2030"/>
      <c r="H8" s="2029" t="s">
        <v>88</v>
      </c>
      <c r="I8" s="2030"/>
      <c r="J8" s="1966" t="s">
        <v>130</v>
      </c>
      <c r="K8" s="1602"/>
      <c r="L8" s="2033" t="s">
        <v>276</v>
      </c>
      <c r="M8" s="2033"/>
      <c r="N8" s="2033"/>
      <c r="O8" s="2033"/>
      <c r="P8" s="2033"/>
      <c r="Q8" s="1603"/>
      <c r="R8" s="1935" t="s">
        <v>277</v>
      </c>
      <c r="S8" s="2034"/>
      <c r="T8" s="2034"/>
      <c r="U8" s="2034"/>
      <c r="V8" s="2034"/>
      <c r="W8" s="1603"/>
      <c r="X8" s="2035" t="s">
        <v>278</v>
      </c>
      <c r="Y8" s="2035"/>
      <c r="Z8" s="2035"/>
      <c r="AA8" s="2035"/>
      <c r="AB8" s="2035"/>
      <c r="AC8" s="1604"/>
      <c r="AD8" s="1966" t="s">
        <v>279</v>
      </c>
      <c r="AE8" s="1966"/>
      <c r="AF8" s="1966"/>
      <c r="AG8" s="1966"/>
      <c r="AH8" s="1940"/>
      <c r="AI8" s="1966" t="s">
        <v>280</v>
      </c>
      <c r="AJ8" s="1620"/>
    </row>
    <row customHeight="1" ht="22.5">
      <c r="D9" s="1966"/>
      <c r="E9" s="1966"/>
      <c r="F9" s="2012" t="s">
        <v>89</v>
      </c>
      <c r="G9" s="2012" t="s">
        <v>135</v>
      </c>
      <c r="H9" s="2031"/>
      <c r="I9" s="2032"/>
      <c r="J9" s="1940"/>
      <c r="K9" s="1605"/>
      <c r="L9" s="1966" t="s">
        <v>281</v>
      </c>
      <c r="M9" s="1940"/>
      <c r="N9" s="2029" t="s">
        <v>88</v>
      </c>
      <c r="O9" s="2030"/>
      <c r="P9" s="1966" t="s">
        <v>136</v>
      </c>
      <c r="Q9" s="1602"/>
      <c r="R9" s="1966" t="s">
        <v>281</v>
      </c>
      <c r="S9" s="1940"/>
      <c r="T9" s="2029" t="s">
        <v>88</v>
      </c>
      <c r="U9" s="2030"/>
      <c r="V9" s="1966" t="s">
        <v>136</v>
      </c>
      <c r="W9" s="1602"/>
      <c r="X9" s="1966" t="s">
        <v>281</v>
      </c>
      <c r="Y9" s="1940"/>
      <c r="Z9" s="2029" t="s">
        <v>88</v>
      </c>
      <c r="AA9" s="2030"/>
      <c r="AB9" s="1966" t="s">
        <v>282</v>
      </c>
      <c r="AC9" s="1602"/>
      <c r="AD9" s="1966" t="s">
        <v>281</v>
      </c>
      <c r="AE9" s="1940"/>
      <c r="AF9" s="2029" t="s">
        <v>88</v>
      </c>
      <c r="AG9" s="2030"/>
      <c r="AH9" s="1940" t="s">
        <v>282</v>
      </c>
      <c r="AI9" s="1966"/>
      <c r="AJ9" s="1620"/>
    </row>
    <row customHeight="1" ht="22.5">
      <c r="D10" s="2012"/>
      <c r="E10" s="2012"/>
      <c r="F10" s="2036"/>
      <c r="G10" s="2036"/>
      <c r="H10" s="2037"/>
      <c r="I10" s="2038"/>
      <c r="J10" s="2029"/>
      <c r="K10" s="1605"/>
      <c r="L10" s="1624" t="s">
        <v>283</v>
      </c>
      <c r="M10" s="1619" t="s">
        <v>284</v>
      </c>
      <c r="N10" s="2031"/>
      <c r="O10" s="2032"/>
      <c r="P10" s="2012"/>
      <c r="Q10" s="1602"/>
      <c r="R10" s="1624" t="s">
        <v>283</v>
      </c>
      <c r="S10" s="1619" t="s">
        <v>284</v>
      </c>
      <c r="T10" s="2031"/>
      <c r="U10" s="2032"/>
      <c r="V10" s="2012"/>
      <c r="W10" s="1602"/>
      <c r="X10" s="1624" t="s">
        <v>283</v>
      </c>
      <c r="Y10" s="1619" t="s">
        <v>284</v>
      </c>
      <c r="Z10" s="2031"/>
      <c r="AA10" s="2032"/>
      <c r="AB10" s="2012"/>
      <c r="AC10" s="1602"/>
      <c r="AD10" s="1624" t="s">
        <v>283</v>
      </c>
      <c r="AE10" s="1619" t="s">
        <v>284</v>
      </c>
      <c r="AF10" s="2031"/>
      <c r="AG10" s="2032"/>
      <c r="AH10" s="2029"/>
      <c r="AI10" s="2012"/>
      <c r="AJ10" s="1620"/>
      <c r="AK10" s="240" t="s">
        <v>285</v>
      </c>
      <c r="AL10" s="240" t="s">
        <v>137</v>
      </c>
    </row>
    <row customHeight="1" ht="14.25">
      <c r="D11" s="2020" t="s">
        <v>109</v>
      </c>
      <c r="E11" s="2016" t="s">
        <v>286</v>
      </c>
      <c r="F11" s="2016" t="s">
        <v>287</v>
      </c>
      <c r="G11" s="2022" t="s">
        <v>56</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872"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110</v>
      </c>
      <c r="E17" s="2016" t="s">
        <v>286</v>
      </c>
      <c r="F17" s="2016" t="s">
        <v>288</v>
      </c>
      <c r="G17" s="2022" t="s">
        <v>56</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872"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90</v>
      </c>
      <c r="E23" s="2016" t="s">
        <v>286</v>
      </c>
      <c r="F23" s="2016" t="s">
        <v>289</v>
      </c>
      <c r="G23" s="2022" t="s">
        <v>56</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98</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872"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91</v>
      </c>
      <c r="E29" s="2016" t="s">
        <v>286</v>
      </c>
      <c r="F29" s="2016" t="s">
        <v>290</v>
      </c>
      <c r="G29" s="2022" t="s">
        <v>56</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872"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111</v>
      </c>
      <c r="E35" s="2016" t="s">
        <v>286</v>
      </c>
      <c r="F35" s="2016" t="s">
        <v>291</v>
      </c>
      <c r="G35" s="2022" t="s">
        <v>56</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872"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7BFCE-410A-CCB6-A9C3-08A387E86DF4}"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43" width="15.00390625" hidden="1" customWidth="1"/>
    <col min="2" max="2" style="2945" width="15.00390625" hidden="1" customWidth="1"/>
    <col min="3" max="3" style="3024" width="3.7109375" customWidth="1"/>
    <col min="4" max="4" style="3025" width="6.8515625" customWidth="1"/>
    <col min="5" max="5" style="3024" width="52.28125" customWidth="1"/>
    <col min="6" max="6" style="3024" width="48.8515625" customWidth="1"/>
    <col min="7" max="7" style="3024" width="121.7109375" customWidth="1"/>
    <col min="8" max="8" style="3024" width="9.140625"/>
    <col min="9" max="9" style="3024" width="65.00390625" customWidth="1"/>
  </cols>
  <sheetData>
    <row customHeight="1" ht="11.25" hidden="1">
      <c r="A1" s="1732" t="s">
        <v>292</v>
      </c>
    </row>
    <row customHeight="1" ht="11.25" hidden="1"/>
    <row s="2944" customFormat="1" customHeight="1" ht="11.25">
      <c r="A3" s="1732"/>
      <c r="B3" s="509"/>
      <c r="D3" s="486"/>
    </row>
    <row customHeight="1" ht="36.75">
      <c r="D4" s="1996" t="str">
        <f>ORG_INFO_NAME_FORM</f>
        <v>Форма 1. Информация о регулируемой организации, осуществляющей водоотведение
(далее – регулируемая организация) (общая информация)</v>
      </c>
      <c r="E4" s="1997"/>
      <c r="F4" s="1998"/>
      <c r="I4" s="723"/>
    </row>
    <row customHeight="1" ht="17.25">
      <c r="D5" s="2049" t="str">
        <f>IF(org=0,"Не определено",org)</f>
        <v>МУП "Уссурийск-Водоканал"</v>
      </c>
      <c r="E5" s="2049"/>
      <c r="F5" s="2049"/>
      <c r="I5" s="723"/>
    </row>
    <row s="2944"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293</v>
      </c>
      <c r="E8" s="2042"/>
      <c r="F8" s="2042"/>
      <c r="G8" s="2046" t="s">
        <v>294</v>
      </c>
    </row>
    <row customHeight="1" ht="11.25">
      <c r="A9" s="465"/>
      <c r="B9" s="510"/>
      <c r="C9" s="465"/>
      <c r="D9" s="480" t="s">
        <v>88</v>
      </c>
      <c r="E9" s="454" t="s">
        <v>295</v>
      </c>
      <c r="F9" s="454" t="s">
        <v>296</v>
      </c>
      <c r="G9" s="2047"/>
    </row>
    <row customHeight="1" ht="12" hidden="1">
      <c r="A10" s="465"/>
      <c r="B10" s="510"/>
      <c r="C10" s="465"/>
      <c r="D10" s="472"/>
      <c r="E10" s="472"/>
      <c r="F10" s="472"/>
      <c r="G10" s="472"/>
    </row>
    <row customHeight="1" ht="22.5" hidden="1">
      <c r="A11" s="465"/>
      <c r="B11" s="510"/>
      <c r="C11" s="465"/>
      <c r="D11" s="1022" t="s">
        <v>109</v>
      </c>
      <c r="E11" s="1025" t="s">
        <v>297</v>
      </c>
      <c r="F11" s="1024" t="str">
        <f>IF(region_name="","",region_name)</f>
        <v>Приморский край</v>
      </c>
      <c r="G11" s="1025" t="s">
        <v>298</v>
      </c>
      <c r="H11" s="483"/>
    </row>
    <row customHeight="1" ht="22.5" hidden="1">
      <c r="A12" s="465"/>
      <c r="B12" s="510"/>
      <c r="C12" s="465"/>
      <c r="D12" s="453" t="s">
        <v>109</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299</v>
      </c>
      <c r="G12" s="482"/>
      <c r="H12" s="483"/>
    </row>
    <row customHeight="1" ht="22.5">
      <c r="A13" s="465"/>
      <c r="B13" s="510"/>
      <c r="C13" s="465"/>
      <c r="D13" s="453" t="s">
        <v>109</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row>
    <row customHeight="1" ht="22.5" hidden="1">
      <c r="A14" s="465"/>
      <c r="B14" s="510"/>
      <c r="C14" s="465"/>
      <c r="D14" s="1022" t="s">
        <v>300</v>
      </c>
      <c r="E14" s="1023" t="s">
        <v>301</v>
      </c>
      <c r="F14" s="1024" t="str">
        <f>IF(inn="","",inn)</f>
        <v>2511040110</v>
      </c>
      <c r="G14" s="1025" t="s">
        <v>302</v>
      </c>
      <c r="H14" s="483"/>
    </row>
    <row customHeight="1" ht="22.5" hidden="1">
      <c r="A15" s="465"/>
      <c r="B15" s="510"/>
      <c r="C15" s="465"/>
      <c r="D15" s="1022" t="s">
        <v>303</v>
      </c>
      <c r="E15" s="1023" t="s">
        <v>304</v>
      </c>
      <c r="F15" s="1024" t="str">
        <f>IF(kpp="","",kpp)</f>
        <v>251101001</v>
      </c>
      <c r="G15" s="1025" t="s">
        <v>305</v>
      </c>
      <c r="H15" s="483"/>
    </row>
    <row customHeight="1" ht="36.75">
      <c r="A16" s="465"/>
      <c r="B16" s="510"/>
      <c r="C16" s="465"/>
      <c r="D16" s="453" t="s">
        <v>110</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90</v>
      </c>
      <c r="E17" s="450" t="str">
        <f>"Дата присвоения ОГРН"&amp;IF(TEMPLATE_SPHERE="TKO",""," (ОГРНИП)")</f>
        <v>Дата присвоения ОГРН (ОГРНИП)</v>
      </c>
      <c r="F17" s="1778" t="s">
        <v>18</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91</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306</v>
      </c>
      <c r="F19" s="451" t="s">
        <v>299</v>
      </c>
      <c r="G19" s="452" t="s">
        <v>307</v>
      </c>
      <c r="H19" s="483"/>
      <c r="I19" s="862"/>
    </row>
    <row customHeight="1" ht="33.75" hidden="1">
      <c r="A20" s="2043"/>
      <c r="B20" s="510"/>
      <c r="C20" s="2048"/>
      <c r="D20" s="453" t="s">
        <v>308</v>
      </c>
      <c r="E20" s="447" t="s">
        <v>309</v>
      </c>
      <c r="F20" s="891" t="s">
        <v>18</v>
      </c>
      <c r="G20" s="482"/>
      <c r="H20" s="483"/>
      <c r="I20" s="862"/>
    </row>
    <row customHeight="1" ht="22.5" hidden="1">
      <c r="A21" s="2043"/>
      <c r="B21" s="510"/>
      <c r="C21" s="2048"/>
      <c r="D21" s="453" t="s">
        <v>310</v>
      </c>
      <c r="E21" s="447" t="s">
        <v>311</v>
      </c>
      <c r="F21" s="1779" t="s">
        <v>18</v>
      </c>
      <c r="G21" s="452" t="s">
        <v>312</v>
      </c>
      <c r="H21" s="483"/>
      <c r="I21" s="862"/>
    </row>
    <row customHeight="1" ht="22.5" hidden="1">
      <c r="A22" s="2043"/>
      <c r="B22" s="510"/>
      <c r="C22" s="2048"/>
      <c r="D22" s="453" t="s">
        <v>313</v>
      </c>
      <c r="E22" s="447" t="s">
        <v>314</v>
      </c>
      <c r="F22" s="891" t="s">
        <v>18</v>
      </c>
      <c r="G22" s="482"/>
      <c r="H22" s="483"/>
      <c r="I22" s="862"/>
    </row>
    <row customHeight="1" ht="22.5" hidden="1">
      <c r="A23" s="2043"/>
      <c r="B23" s="510"/>
      <c r="C23" s="2048"/>
      <c r="D23" s="453" t="s">
        <v>315</v>
      </c>
      <c r="E23" s="447" t="s">
        <v>316</v>
      </c>
      <c r="F23" s="891" t="s">
        <v>18</v>
      </c>
      <c r="G23" s="452" t="s">
        <v>317</v>
      </c>
      <c r="H23" s="483"/>
      <c r="I23" s="862"/>
    </row>
    <row s="2945" customFormat="1" customHeight="1" ht="24.75" hidden="1">
      <c r="A24" s="465"/>
      <c r="B24" s="510"/>
      <c r="C24" s="510"/>
      <c r="D24" s="1019" t="s">
        <v>90</v>
      </c>
      <c r="E24" s="1021" t="s">
        <v>318</v>
      </c>
      <c r="F24" s="1026" t="s">
        <v>299</v>
      </c>
      <c r="G24" s="1021"/>
    </row>
    <row s="2945" customFormat="1" customHeight="1" ht="11.25" hidden="1">
      <c r="A25" s="465"/>
      <c r="B25" s="510"/>
      <c r="C25" s="510"/>
      <c r="D25" s="1019" t="s">
        <v>319</v>
      </c>
      <c r="E25" s="1020" t="s">
        <v>320</v>
      </c>
      <c r="F25" s="1026" t="s">
        <v>299</v>
      </c>
      <c r="G25" s="1021"/>
    </row>
    <row s="2945" customFormat="1" customHeight="1" ht="11.25" hidden="1">
      <c r="A26" s="465"/>
      <c r="B26" s="510"/>
      <c r="C26" s="510"/>
      <c r="D26" s="1019" t="s">
        <v>321</v>
      </c>
      <c r="E26" s="1027" t="s">
        <v>322</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2945" customFormat="1" customHeight="1" ht="11.25" hidden="1">
      <c r="A27" s="465"/>
      <c r="B27" s="510"/>
      <c r="C27" s="510"/>
      <c r="D27" s="1019" t="s">
        <v>323</v>
      </c>
      <c r="E27" s="1027" t="s">
        <v>324</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2945" customFormat="1" customHeight="1" ht="11.25" hidden="1">
      <c r="A28" s="465"/>
      <c r="B28" s="510"/>
      <c r="C28" s="510"/>
      <c r="D28" s="1019" t="s">
        <v>325</v>
      </c>
      <c r="E28" s="1027" t="s">
        <v>326</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2945" customFormat="1" customHeight="1" ht="11.25" hidden="1">
      <c r="A29" s="465"/>
      <c r="B29" s="510"/>
      <c r="C29" s="510"/>
      <c r="D29" s="1019" t="s">
        <v>327</v>
      </c>
      <c r="E29" s="1020" t="s">
        <v>328</v>
      </c>
      <c r="F29" s="1028"/>
      <c r="G29" s="1021"/>
    </row>
    <row s="2945" customFormat="1" customHeight="1" ht="11.25" hidden="1">
      <c r="A30" s="465"/>
      <c r="B30" s="510"/>
      <c r="C30" s="510"/>
      <c r="D30" s="1019" t="s">
        <v>329</v>
      </c>
      <c r="E30" s="1020" t="s">
        <v>330</v>
      </c>
      <c r="F30" s="1028"/>
      <c r="G30" s="1021"/>
    </row>
    <row s="2945" customFormat="1" customHeight="1" ht="11.25" hidden="1">
      <c r="A31" s="465"/>
      <c r="B31" s="510"/>
      <c r="C31" s="510"/>
      <c r="D31" s="1019" t="s">
        <v>331</v>
      </c>
      <c r="E31" s="1020" t="s">
        <v>332</v>
      </c>
      <c r="F31" s="1029"/>
      <c r="G31" s="1021"/>
    </row>
    <row customHeight="1" ht="22.5">
      <c r="A32" s="465" t="str">
        <f>IF(TEMPLATE_SPHERE="HEAT","6","5")</f>
        <v>5</v>
      </c>
      <c r="B32" s="510"/>
      <c r="C32" s="465"/>
      <c r="D32" s="448" t="str">
        <f>A32</f>
        <v>5</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51" t="s">
        <v>299</v>
      </c>
      <c r="G32" s="482"/>
      <c r="H32" s="483"/>
    </row>
    <row customHeight="1" ht="22.5">
      <c r="A33" s="465"/>
      <c r="B33" s="510"/>
      <c r="C33" s="465"/>
      <c r="D33" s="448" t="str">
        <f>D32&amp;".1"</f>
        <v>5.1</v>
      </c>
      <c r="E33" s="450" t="str">
        <f>"фамилия"&amp;IF(TEMPLATE_SPHERE&lt;&gt;"HEAT"," руководителя","")</f>
        <v>фамилия руководителя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3"/>
    </row>
    <row customHeight="1" ht="22.5">
      <c r="A34" s="465"/>
      <c r="B34" s="510"/>
      <c r="C34" s="465"/>
      <c r="D34" s="448" t="str">
        <f>D32&amp;".2"</f>
        <v>5.2</v>
      </c>
      <c r="E34" s="450" t="str">
        <f>"имя"&amp;IF(TEMPLATE_SPHERE&lt;&gt;"HEAT"," руководителя","")</f>
        <v>имя руководителя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3"/>
    </row>
    <row customHeight="1" ht="22.5">
      <c r="A35" s="465"/>
      <c r="B35" s="510"/>
      <c r="C35" s="465"/>
      <c r="D35" s="448" t="str">
        <f>D32&amp;".3"</f>
        <v>5.3</v>
      </c>
      <c r="E35" s="450" t="str">
        <f>"отчество"&amp;IF(TEMPLATE_SPHERE&lt;&gt;"HEAT"," руководителя","")</f>
        <v>отчество руководителя</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3"/>
    </row>
    <row customHeight="1" ht="33.75">
      <c r="A36" s="465"/>
      <c r="B36" s="510"/>
      <c r="C36" s="465"/>
      <c r="D36" s="448">
        <f>D32+1</f>
        <v>6</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9"/>
      <c r="G36" s="452" t="s">
        <v>333</v>
      </c>
      <c r="H36" s="483"/>
    </row>
    <row customHeight="1" ht="33.75">
      <c r="A37" s="465"/>
      <c r="B37" s="510"/>
      <c r="C37" s="465"/>
      <c r="D37" s="448">
        <f>D36+1</f>
        <v>7</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9"/>
      <c r="G37" s="452" t="s">
        <v>333</v>
      </c>
      <c r="H37" s="483"/>
    </row>
    <row customHeight="1" ht="22.5">
      <c r="A38" s="465"/>
      <c r="B38" s="510"/>
      <c r="C38" s="465"/>
      <c r="D38" s="448">
        <f>D37+1</f>
        <v>8</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51" t="s">
        <v>299</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8.0</v>
      </c>
      <c r="E39" s="1651"/>
      <c r="F39" s="891"/>
      <c r="G39" s="2051"/>
      <c r="H39" s="483"/>
    </row>
    <row customHeight="1" ht="22.5">
      <c r="A40" s="465"/>
      <c r="B40" s="465"/>
      <c r="C40" s="1734"/>
      <c r="D40" s="448" t="str">
        <f>D38&amp;".1"</f>
        <v>8.1</v>
      </c>
      <c r="E40" s="870"/>
      <c r="F40" s="871"/>
      <c r="G40" s="2051"/>
      <c r="H40" s="483"/>
    </row>
    <row customHeight="1" ht="15">
      <c r="A41" s="465"/>
      <c r="B41" s="510"/>
      <c r="C41" s="465"/>
      <c r="D41" s="475"/>
      <c r="E41" s="422" t="s">
        <v>334</v>
      </c>
      <c r="F41" s="477"/>
      <c r="G41" s="2052"/>
      <c r="H41" s="484"/>
    </row>
    <row customHeight="1" ht="25.5">
      <c r="A42" s="465"/>
      <c r="B42" s="510"/>
      <c r="C42" s="465"/>
      <c r="D42" s="448">
        <f>D38+1</f>
        <v>9</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10</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2" t="s">
        <v>335</v>
      </c>
      <c r="H43" s="483"/>
    </row>
    <row customHeight="1" ht="22.5">
      <c r="A44" s="465"/>
      <c r="B44" s="510"/>
      <c r="C44" s="465"/>
      <c r="D44" s="448">
        <f>D43+1</f>
        <v>11</v>
      </c>
      <c r="E44" s="446" t="s">
        <v>336</v>
      </c>
      <c r="F44" s="451" t="s">
        <v>299</v>
      </c>
      <c r="G44" s="445" t="str">
        <f>IF(TEMPLATE_SPHERE="TKO","Указывается режим работы организации.","")</f>
        <v/>
      </c>
      <c r="H44" s="483"/>
    </row>
    <row customHeight="1" ht="22.5">
      <c r="A45" s="465"/>
      <c r="B45" s="510"/>
      <c r="C45" s="465"/>
      <c r="D45" s="448" t="str">
        <f>D44&amp;".1"</f>
        <v>11.1</v>
      </c>
      <c r="E45" s="450" t="str">
        <f>"режим работы регулируемой организации"&amp;IF(TEMPLATE_SPHERE="HEAT",", ЕТО, ТО","")</f>
        <v>режим работы регулируемой организации</v>
      </c>
      <c r="F45" s="1730"/>
      <c r="G45" s="445" t="s">
        <v>337</v>
      </c>
      <c r="H45" s="483"/>
    </row>
    <row customHeight="1" ht="22.5">
      <c r="A46" s="2039"/>
      <c r="B46" s="510"/>
      <c r="C46" s="500"/>
      <c r="D46" s="448" t="str">
        <f>D44&amp;".2"</f>
        <v>11.2</v>
      </c>
      <c r="E46" s="450" t="s">
        <v>338</v>
      </c>
      <c r="F46" s="498"/>
      <c r="G46" s="445" t="s">
        <v>339</v>
      </c>
      <c r="H46" s="483"/>
    </row>
    <row customHeight="1" ht="22.5">
      <c r="A47" s="2039"/>
      <c r="B47" s="510"/>
      <c r="C47" s="500"/>
      <c r="D47" s="448" t="str">
        <f>D44&amp;".3"</f>
        <v>11.3</v>
      </c>
      <c r="E47" s="450" t="s">
        <v>340</v>
      </c>
      <c r="F47" s="498"/>
      <c r="G47" s="445" t="s">
        <v>341</v>
      </c>
      <c r="H47" s="483"/>
    </row>
    <row customHeight="1" ht="22.5">
      <c r="A48" s="2039"/>
      <c r="B48" s="510"/>
      <c r="C48" s="500"/>
      <c r="D48" s="448" t="str">
        <f>IF(TEMPLATE_SPHERE="TKO",D44&amp;".0",D44&amp;".4")</f>
        <v>11.4</v>
      </c>
      <c r="E48" s="444" t="s">
        <v>342</v>
      </c>
      <c r="F48" s="1731"/>
      <c r="G48" s="1808" t="s">
        <v>343</v>
      </c>
      <c r="H48" s="483"/>
    </row>
    <row customHeight="1" ht="22.5">
      <c r="A49" s="465"/>
      <c r="B49" s="510"/>
      <c r="C49" s="465"/>
      <c r="D49" s="475"/>
      <c r="E49" s="422" t="s">
        <v>344</v>
      </c>
      <c r="F49" s="476"/>
      <c r="G49" s="1808" t="s">
        <v>345</v>
      </c>
      <c r="H49" s="484"/>
    </row>
    <row customHeight="1" ht="22.5">
      <c r="A50" s="868"/>
      <c r="B50" s="510"/>
      <c r="C50" s="500"/>
      <c r="D50" s="448">
        <f>D44+1</f>
        <v>12</v>
      </c>
      <c r="E50" s="536" t="s">
        <v>346</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3"/>
    </row>
    <row customHeight="1" ht="11.25">
      <c r="A51" s="465"/>
      <c r="B51" s="510"/>
      <c r="C51" s="465"/>
    </row>
    <row s="3012"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4"/>
      <c r="F52" s="2044"/>
      <c r="G52" s="2044"/>
      <c r="H52" s="462"/>
      <c r="I52" s="462"/>
    </row>
    <row s="3012" customFormat="1" customHeight="1" ht="39.75">
      <c r="A53" s="465"/>
      <c r="B53" s="510"/>
      <c r="C53" s="2040"/>
      <c r="D53" s="2044"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136DD-8463-1548-AC68-B0621A82EAE7}"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088" width="9.140625" hidden="1" customWidth="1"/>
    <col min="2" max="2" style="3067" width="9.140625" hidden="1" customWidth="1"/>
    <col min="3" max="3" style="3089" width="3.7109375" customWidth="1"/>
    <col min="4" max="4" style="3067" width="5.57421875" customWidth="1"/>
    <col min="5" max="5" style="3067" width="48.421875" customWidth="1"/>
    <col min="6" max="6" style="3067" width="38.140625" customWidth="1"/>
    <col min="7" max="7" style="2599" width="1.7109375" hidden="1" customWidth="1"/>
    <col min="8" max="11" style="3067" width="19.8515625" hidden="1" customWidth="1"/>
    <col min="12" max="12" style="3067" width="9.7109375" hidden="1" customWidth="1"/>
    <col min="13" max="18" style="3067" width="19.8515625" hidden="1" customWidth="1"/>
    <col min="19" max="19" style="2599" width="1.7109375" hidden="1" customWidth="1"/>
    <col min="20" max="22" style="3090" width="19.8515625" customWidth="1"/>
    <col min="23" max="23" style="2599" width="1.7109375" hidden="1" customWidth="1"/>
    <col min="24" max="26" style="3090" width="19.8515625" hidden="1" customWidth="1"/>
    <col min="27" max="27" style="2599" width="1.7109375" hidden="1" customWidth="1"/>
    <col min="28" max="29" style="3090" width="19.8515625" hidden="1" customWidth="1"/>
    <col min="30" max="30" style="2599" width="1.7109375" hidden="1" customWidth="1"/>
    <col min="31" max="31" style="3067" width="103.7109375" hidden="1" customWidth="1"/>
    <col min="32" max="32" style="3090" width="103.7109375" customWidth="1"/>
    <col min="33" max="34" style="3090" width="103.7109375" hidden="1" customWidth="1"/>
    <col min="35" max="35" style="3091" width="3.7109375" customWidth="1"/>
    <col min="36" max="38" style="3044" width="10.57421875"/>
    <col min="39" max="39" style="3044" width="13.7109375" hidden="1" customWidth="1"/>
    <col min="40" max="40" style="3044" width="15.421875" customWidth="1"/>
    <col min="41" max="41" style="3044" width="16.28125" customWidth="1"/>
    <col min="42" max="45" style="3044" width="10.57421875"/>
  </cols>
  <sheetData>
    <row customHeight="1" ht="14.25" hidden="1">
      <c r="E1" s="419"/>
      <c r="F1" s="419"/>
      <c r="G1" s="419"/>
      <c r="H1" s="2056" t="s">
        <v>347</v>
      </c>
      <c r="I1" s="2056"/>
      <c r="J1" s="2056"/>
      <c r="K1" s="2056"/>
      <c r="L1" s="2056"/>
      <c r="M1" s="2056"/>
      <c r="N1" s="2056"/>
      <c r="O1" s="2056"/>
      <c r="P1" s="2056"/>
      <c r="Q1" s="2056"/>
      <c r="R1" s="2056"/>
      <c r="T1" s="2056" t="s">
        <v>348</v>
      </c>
      <c r="U1" s="2056"/>
      <c r="V1" s="2056"/>
      <c r="X1" s="2056" t="s">
        <v>349</v>
      </c>
      <c r="Y1" s="2056"/>
      <c r="Z1" s="2056"/>
      <c r="AB1" s="2056" t="s">
        <v>350</v>
      </c>
      <c r="AC1" s="2056"/>
    </row>
    <row customHeight="1" ht="14.25" hidden="1"/>
    <row s="3027" customFormat="1" customHeight="1" ht="6">
      <c r="C3" s="709"/>
      <c r="D3" s="710"/>
      <c r="E3" s="710"/>
      <c r="F3" s="710"/>
      <c r="G3" s="710"/>
      <c r="H3" s="710" t="s">
        <v>351</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водоотведения регулируемой организации</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599" customFormat="1" customHeight="1" ht="17.25">
      <c r="A5" s="769"/>
      <c r="C5" s="832"/>
      <c r="D5" s="2053" t="str">
        <f>IF(org=0,"Не определено",org)</f>
        <v>МУП "Уссурийск-Водоканал"</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39"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293</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294</v>
      </c>
      <c r="AF7" s="2062" t="s">
        <v>294</v>
      </c>
      <c r="AG7" s="2062" t="s">
        <v>294</v>
      </c>
      <c r="AH7" s="2062" t="s">
        <v>294</v>
      </c>
    </row>
    <row customHeight="1" ht="25.5">
      <c r="C8" s="458"/>
      <c r="D8" s="1966" t="s">
        <v>88</v>
      </c>
      <c r="E8" s="2062" t="str">
        <f>"Наименование "&amp;IF(TEMPLATE_SPHERE&lt;&gt;"HEAT","централизованной ","")&amp;"системы "&amp;TEMPLATE_SPHERE_RUS</f>
        <v>Наименование централизованной системы водоотведения</v>
      </c>
      <c r="F8" s="2062" t="str">
        <f>IF(TEMPLATE_SPHERE&lt;&gt;"HEAT","Регулируемый вид деятельности","Вид регулируемой деятельности")</f>
        <v>Регулируемый вид деятельности</v>
      </c>
      <c r="G8" s="838"/>
      <c r="H8" s="2063" t="s">
        <v>352</v>
      </c>
      <c r="I8" s="2065" t="s">
        <v>353</v>
      </c>
      <c r="J8" s="2062" t="s">
        <v>354</v>
      </c>
      <c r="K8" s="2062"/>
      <c r="L8" s="2062"/>
      <c r="M8" s="2057"/>
      <c r="N8" s="2062" t="s">
        <v>355</v>
      </c>
      <c r="O8" s="2062"/>
      <c r="P8" s="2062" t="s">
        <v>356</v>
      </c>
      <c r="Q8" s="2062"/>
      <c r="R8" s="2069" t="s">
        <v>357</v>
      </c>
      <c r="S8" s="834"/>
      <c r="T8" s="2067" t="s">
        <v>358</v>
      </c>
      <c r="U8" s="2067" t="s">
        <v>359</v>
      </c>
      <c r="V8" s="2067" t="s">
        <v>360</v>
      </c>
      <c r="W8" s="836"/>
      <c r="X8" s="2067" t="s">
        <v>361</v>
      </c>
      <c r="Y8" s="2067" t="s">
        <v>362</v>
      </c>
      <c r="Z8" s="2067" t="s">
        <v>363</v>
      </c>
      <c r="AA8" s="836"/>
      <c r="AB8" s="2067" t="s">
        <v>364</v>
      </c>
      <c r="AC8" s="2067" t="s">
        <v>357</v>
      </c>
      <c r="AD8" s="836"/>
      <c r="AE8" s="2062"/>
      <c r="AF8" s="2062"/>
      <c r="AG8" s="2062"/>
      <c r="AH8" s="2062"/>
    </row>
    <row customHeight="1" ht="33.75">
      <c r="C9" s="458"/>
      <c r="D9" s="1966"/>
      <c r="E9" s="2062"/>
      <c r="F9" s="2062"/>
      <c r="G9" s="839"/>
      <c r="H9" s="2064"/>
      <c r="I9" s="2066"/>
      <c r="J9" s="432" t="s">
        <v>365</v>
      </c>
      <c r="K9" s="432" t="s">
        <v>366</v>
      </c>
      <c r="L9" s="432" t="s">
        <v>367</v>
      </c>
      <c r="M9" s="438" t="s">
        <v>368</v>
      </c>
      <c r="N9" s="432" t="s">
        <v>369</v>
      </c>
      <c r="O9" s="432" t="s">
        <v>368</v>
      </c>
      <c r="P9" s="432" t="s">
        <v>370</v>
      </c>
      <c r="Q9" s="432" t="s">
        <v>368</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6" customFormat="1" customHeight="1" ht="11.25" hidden="1">
      <c r="C11" s="506"/>
      <c r="D11" s="507" t="s">
        <v>371</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109</v>
      </c>
      <c r="E12" s="1827" t="s">
        <v>18</v>
      </c>
      <c r="F12" s="865"/>
      <c r="G12" s="866"/>
      <c r="H12" s="1828"/>
      <c r="I12" s="1828"/>
      <c r="J12" s="441"/>
      <c r="K12" s="440"/>
      <c r="L12" s="439"/>
      <c r="M12" s="440"/>
      <c r="N12" s="441"/>
      <c r="O12" s="440"/>
      <c r="P12" s="441"/>
      <c r="Q12" s="440"/>
      <c r="R12" s="441"/>
      <c r="S12" s="864"/>
      <c r="T12" s="1828"/>
      <c r="U12" s="441"/>
      <c r="V12" s="441"/>
      <c r="W12" s="837"/>
      <c r="X12" s="1828"/>
      <c r="Y12" s="441"/>
      <c r="Z12" s="441"/>
      <c r="AA12" s="837"/>
      <c r="AB12" s="1828"/>
      <c r="AC12" s="441"/>
      <c r="AD12" s="837"/>
      <c r="AE12" s="2060" t="s">
        <v>372</v>
      </c>
      <c r="AF12" s="2060" t="s">
        <v>373</v>
      </c>
      <c r="AG12" s="2060" t="s">
        <v>374</v>
      </c>
      <c r="AH12" s="2060" t="s">
        <v>375</v>
      </c>
      <c r="AI12" s="455"/>
      <c r="AM12" s="519"/>
      <c r="AP12" s="508" t="s">
        <v>376</v>
      </c>
      <c r="AQ12" s="508" t="s">
        <v>376</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H12:I12 T12 X12 AB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7B4F6-6AA9-5969-3ADB-702D58394C5D}"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14" width="9.140625" hidden="1" customWidth="1"/>
    <col min="2" max="2" style="3111" width="9.140625" hidden="1" customWidth="1"/>
    <col min="3" max="3" style="3089" width="3.7109375" customWidth="1"/>
    <col min="4" max="4" style="3111" width="5.57421875" customWidth="1"/>
    <col min="5" max="5" style="3111" width="38.140625" customWidth="1"/>
    <col min="6" max="7" style="3111" width="3.7109375" customWidth="1"/>
    <col min="8" max="8" style="3111" width="38.28125" customWidth="1"/>
    <col min="9" max="9" style="3111" width="35.7109375" customWidth="1"/>
    <col min="10" max="10" style="3111" width="103.7109375" customWidth="1"/>
    <col min="11" max="11" style="2883" width="3.7109375" customWidth="1"/>
    <col min="12" max="14" style="3105" width="10.57421875"/>
    <col min="15" max="15" style="3105" width="13.7109375" customWidth="1"/>
    <col min="16" max="16" style="3105" width="15.421875" customWidth="1"/>
    <col min="17" max="17" style="3105" width="16.28125" customWidth="1"/>
    <col min="18" max="21" style="3105" width="10.57421875"/>
  </cols>
  <sheetData>
    <row customHeight="1" ht="14.25" hidden="1">
      <c r="E1" s="419"/>
      <c r="F1" s="419"/>
      <c r="G1" s="419"/>
      <c r="H1" s="2056" t="s">
        <v>347</v>
      </c>
      <c r="I1" s="2056"/>
    </row>
    <row s="3092" customFormat="1" customHeight="1" ht="14.25" hidden="1">
      <c r="C2" s="1665"/>
      <c r="D2" s="2072" t="s">
        <v>109</v>
      </c>
      <c r="E2" s="2074"/>
      <c r="F2" s="1671"/>
      <c r="G2" s="1666" t="s">
        <v>109</v>
      </c>
      <c r="H2" s="1669"/>
      <c r="I2" s="1667"/>
      <c r="L2" s="1668"/>
      <c r="M2" s="1668"/>
      <c r="N2" s="1668"/>
      <c r="O2" s="1668" t="s">
        <v>377</v>
      </c>
      <c r="P2" s="1668"/>
      <c r="Q2" s="1668"/>
      <c r="R2" s="1670" t="s">
        <v>376</v>
      </c>
      <c r="S2" s="1670" t="s">
        <v>376</v>
      </c>
      <c r="T2" s="1668"/>
      <c r="U2" s="1668"/>
    </row>
    <row s="3092" customFormat="1" customHeight="1" ht="14.25" hidden="1">
      <c r="C3" s="1665"/>
      <c r="D3" s="2073"/>
      <c r="E3" s="2075"/>
      <c r="F3" s="412"/>
      <c r="G3" s="879"/>
      <c r="H3" s="879" t="s">
        <v>378</v>
      </c>
      <c r="I3" s="303"/>
      <c r="L3" s="1668"/>
      <c r="M3" s="1668"/>
      <c r="N3" s="1668"/>
      <c r="O3" s="1668"/>
      <c r="P3" s="1668"/>
      <c r="Q3" s="1668"/>
      <c r="R3" s="1670"/>
      <c r="S3" s="1670"/>
      <c r="T3" s="1668"/>
      <c r="U3" s="1668"/>
    </row>
    <row customHeight="1" ht="14.25" hidden="1"/>
    <row s="3104" customFormat="1" customHeight="1" ht="6">
      <c r="C5" s="709"/>
      <c r="D5" s="710"/>
      <c r="E5" s="710"/>
      <c r="F5" s="710"/>
      <c r="G5" s="710"/>
      <c r="H5" s="710" t="s">
        <v>351</v>
      </c>
      <c r="I5" s="710"/>
      <c r="J5" s="710"/>
      <c r="L5" s="1660"/>
      <c r="M5" s="1660"/>
      <c r="N5" s="1660"/>
      <c r="O5" s="1660"/>
      <c r="P5" s="1660"/>
      <c r="Q5" s="1660"/>
      <c r="R5" s="1660"/>
      <c r="S5" s="1660"/>
      <c r="T5" s="1660"/>
      <c r="U5" s="1660"/>
    </row>
    <row customHeight="1" ht="17.25">
      <c r="C6" s="1552"/>
      <c r="D6" s="1996" t="s">
        <v>379</v>
      </c>
      <c r="E6" s="1997"/>
      <c r="F6" s="1997"/>
      <c r="G6" s="1997"/>
      <c r="H6" s="1997"/>
      <c r="I6" s="1997"/>
      <c r="J6" s="499"/>
      <c r="K6" s="1661"/>
    </row>
    <row customHeight="1" ht="17.25">
      <c r="C7" s="1552"/>
      <c r="D7" s="2053" t="str">
        <f>IF(org=0,"Не определено",org)</f>
        <v>МУП "Уссурийск-Водоканал"</v>
      </c>
      <c r="E7" s="2054"/>
      <c r="F7" s="2054"/>
      <c r="G7" s="2054"/>
      <c r="H7" s="2054"/>
      <c r="I7" s="2054"/>
      <c r="J7" s="499"/>
      <c r="K7" s="1661"/>
    </row>
    <row s="3108" customFormat="1" customHeight="1" ht="6">
      <c r="A8" s="1657"/>
      <c r="C8" s="494"/>
      <c r="D8" s="493"/>
      <c r="E8" s="493"/>
      <c r="F8" s="493"/>
      <c r="G8" s="493"/>
      <c r="H8" s="493"/>
      <c r="I8" s="493"/>
      <c r="J8" s="493"/>
      <c r="L8" s="1660"/>
      <c r="M8" s="1660"/>
      <c r="N8" s="1660"/>
      <c r="O8" s="1660"/>
      <c r="P8" s="1660"/>
      <c r="Q8" s="1660"/>
      <c r="R8" s="1660"/>
      <c r="S8" s="1660"/>
      <c r="T8" s="1660"/>
      <c r="U8" s="1660"/>
    </row>
    <row s="3108"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293</v>
      </c>
      <c r="E10" s="2058"/>
      <c r="F10" s="2058"/>
      <c r="G10" s="2058"/>
      <c r="H10" s="2058"/>
      <c r="I10" s="2058"/>
      <c r="J10" s="2062" t="s">
        <v>294</v>
      </c>
    </row>
    <row customHeight="1" ht="25.5">
      <c r="C11" s="1552"/>
      <c r="D11" s="1966" t="s">
        <v>88</v>
      </c>
      <c r="E11" s="2062" t="str">
        <f>IF(TEMPLATE_SPHERE&lt;&gt;"HEAT","Регулируемый вид деятельности","Вид регулируемой деятельности")</f>
        <v>Регулируемый вид деятельности</v>
      </c>
      <c r="F11" s="2029" t="s">
        <v>88</v>
      </c>
      <c r="G11" s="2030"/>
      <c r="H11" s="2012" t="s">
        <v>380</v>
      </c>
      <c r="I11" s="2012" t="s">
        <v>381</v>
      </c>
      <c r="J11" s="2062"/>
    </row>
    <row customHeight="1" ht="14.25">
      <c r="C12" s="1552"/>
      <c r="D12" s="1966"/>
      <c r="E12" s="2062"/>
      <c r="F12" s="2037"/>
      <c r="G12" s="2038"/>
      <c r="H12" s="2071"/>
      <c r="I12" s="2071"/>
      <c r="J12" s="2062"/>
    </row>
    <row s="2586" customFormat="1" customHeight="1" ht="11.25">
      <c r="C13" s="506"/>
      <c r="D13" s="507" t="s">
        <v>371</v>
      </c>
      <c r="E13" s="507"/>
      <c r="F13" s="507"/>
      <c r="G13" s="507"/>
      <c r="H13" s="505"/>
      <c r="I13" s="505"/>
      <c r="J13" s="443"/>
      <c r="L13" s="1660"/>
      <c r="M13" s="1660"/>
      <c r="N13" s="1660"/>
      <c r="O13" s="1660"/>
      <c r="P13" s="1660"/>
      <c r="Q13" s="1660"/>
      <c r="R13" s="1660"/>
      <c r="S13" s="1660"/>
      <c r="T13" s="1660"/>
      <c r="U13" s="1660"/>
    </row>
    <row customHeight="1" ht="14.25">
      <c r="A14" s="1653"/>
      <c r="C14" s="1552"/>
      <c r="D14" s="2072" t="s">
        <v>109</v>
      </c>
      <c r="E14" s="2074"/>
      <c r="F14" s="1663"/>
      <c r="G14" s="1662" t="s">
        <v>109</v>
      </c>
      <c r="H14" s="1669"/>
      <c r="I14" s="1667"/>
      <c r="J14" s="2006" t="s">
        <v>382</v>
      </c>
      <c r="K14" s="1653"/>
      <c r="R14" s="508" t="s">
        <v>376</v>
      </c>
      <c r="S14" s="508" t="s">
        <v>376</v>
      </c>
    </row>
    <row customHeight="1" ht="14.25">
      <c r="A15" s="1653"/>
      <c r="C15" s="1552"/>
      <c r="D15" s="2073"/>
      <c r="E15" s="2075"/>
      <c r="F15" s="412"/>
      <c r="G15" s="879"/>
      <c r="H15" s="879" t="s">
        <v>378</v>
      </c>
      <c r="I15" s="303"/>
      <c r="J15" s="2007"/>
      <c r="K15" s="1653"/>
      <c r="R15" s="508"/>
      <c r="S15" s="508"/>
    </row>
    <row customHeight="1" ht="14.25">
      <c r="A16" s="1653"/>
      <c r="C16" s="1552"/>
      <c r="D16" s="412"/>
      <c r="E16" s="879" t="s">
        <v>128</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AAA7DF-0D6A-5DEE-4645-8E33FC7EEA5D}"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088" width="9.140625" hidden="1" customWidth="1"/>
    <col min="2" max="2" style="3067" width="9.140625" hidden="1" customWidth="1"/>
    <col min="3" max="3" style="2599" width="9.140625" hidden="1" customWidth="1"/>
    <col min="4" max="4" style="3089" width="3.7109375" customWidth="1"/>
    <col min="5" max="5" style="3067" width="6.28125" customWidth="1"/>
    <col min="6" max="6" style="2599" width="1.7109375" hidden="1" customWidth="1"/>
    <col min="7" max="8" style="3067" width="30.7109375" customWidth="1"/>
    <col min="9" max="9" style="3067" width="9.00390625" customWidth="1"/>
    <col min="10" max="10" style="3067" width="12.140625" customWidth="1"/>
    <col min="11" max="11" style="3067" width="46.7109375" customWidth="1"/>
    <col min="12" max="12" style="3067" width="100.28125" customWidth="1"/>
    <col min="13" max="13" style="3091" width="7.57421875" customWidth="1"/>
    <col min="14" max="22" style="3067" width="10.57421875"/>
  </cols>
  <sheetData>
    <row s="3044" customFormat="1" customHeight="1" ht="5.25" hidden="1">
      <c r="C1" s="519"/>
      <c r="D1" s="502"/>
      <c r="F1" s="519"/>
      <c r="G1" s="497" t="s">
        <v>83</v>
      </c>
      <c r="H1" s="497" t="s">
        <v>84</v>
      </c>
      <c r="I1" s="497" t="s">
        <v>85</v>
      </c>
      <c r="P1" s="497" t="s">
        <v>83</v>
      </c>
      <c r="Q1" s="497" t="s">
        <v>84</v>
      </c>
      <c r="R1" s="497" t="s">
        <v>85</v>
      </c>
    </row>
    <row s="3044" customFormat="1" customHeight="1" ht="5.25" hidden="1">
      <c r="C2" s="519"/>
      <c r="D2" s="502"/>
      <c r="F2" s="519"/>
    </row>
    <row s="3039" customFormat="1" customHeight="1" ht="6">
      <c r="A3" s="487"/>
      <c r="D3" s="494"/>
      <c r="E3" s="489"/>
      <c r="F3" s="489"/>
      <c r="G3" s="489"/>
      <c r="H3" s="489"/>
      <c r="I3" s="490"/>
      <c r="J3" s="491"/>
      <c r="K3" s="491"/>
      <c r="L3" s="491"/>
    </row>
    <row customHeight="1" ht="22.5">
      <c r="D4" s="458"/>
      <c r="E4" s="1996" t="s">
        <v>383</v>
      </c>
      <c r="F4" s="1996"/>
      <c r="G4" s="1997"/>
      <c r="H4" s="1997"/>
      <c r="I4" s="1998"/>
      <c r="J4" s="499"/>
      <c r="K4" s="461"/>
      <c r="L4" s="461"/>
    </row>
    <row s="2599" customFormat="1" customHeight="1" ht="17.25">
      <c r="A5" s="769"/>
      <c r="D5" s="832"/>
      <c r="E5" s="2053" t="str">
        <f>IF(org=0,"Не определено",org)</f>
        <v>МУП "Уссурийск-Водоканал"</v>
      </c>
      <c r="F5" s="2053"/>
      <c r="G5" s="2054"/>
      <c r="H5" s="2054"/>
      <c r="I5" s="2055"/>
      <c r="J5" s="499"/>
      <c r="K5" s="461"/>
      <c r="L5" s="461"/>
      <c r="M5" s="515"/>
    </row>
    <row s="3039" customFormat="1" customHeight="1" ht="11.25">
      <c r="A6" s="487"/>
      <c r="D6" s="494"/>
      <c r="E6" s="489"/>
      <c r="F6" s="489"/>
      <c r="G6" s="492"/>
      <c r="H6" s="492"/>
      <c r="I6" s="493"/>
      <c r="J6" s="493"/>
      <c r="K6" s="762"/>
      <c r="L6" s="493"/>
    </row>
    <row customHeight="1" ht="14.25">
      <c r="D7" s="458"/>
      <c r="E7" s="2046" t="s">
        <v>293</v>
      </c>
      <c r="F7" s="2046"/>
      <c r="G7" s="2047"/>
      <c r="H7" s="2047"/>
      <c r="I7" s="2047"/>
      <c r="J7" s="2047"/>
      <c r="K7" s="2047"/>
      <c r="L7" s="2062" t="s">
        <v>294</v>
      </c>
    </row>
    <row customHeight="1" ht="45">
      <c r="D8" s="458"/>
      <c r="E8" s="481" t="s">
        <v>88</v>
      </c>
      <c r="F8" s="833"/>
      <c r="G8" s="473" t="s">
        <v>86</v>
      </c>
      <c r="H8" s="473" t="s">
        <v>87</v>
      </c>
      <c r="I8" s="421" t="s">
        <v>85</v>
      </c>
      <c r="J8" s="421" t="s">
        <v>384</v>
      </c>
      <c r="K8" s="421" t="s">
        <v>385</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386</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39" customFormat="1" customHeight="1" ht="14.25">
      <c r="A12" s="1938"/>
      <c r="B12" s="512"/>
      <c r="C12" s="512"/>
      <c r="D12" s="876"/>
      <c r="E12" s="833">
        <v>1</v>
      </c>
      <c r="F12" s="874">
        <v>23</v>
      </c>
      <c r="G12" s="873"/>
      <c r="H12" s="803"/>
      <c r="I12" s="801"/>
      <c r="J12" s="528" t="s">
        <v>58</v>
      </c>
      <c r="K12" s="1178" t="s">
        <v>18</v>
      </c>
      <c r="L12" s="2076"/>
      <c r="M12" s="519"/>
      <c r="N12" s="519"/>
      <c r="O12" s="519"/>
      <c r="P12" s="524" t="s">
        <v>387</v>
      </c>
      <c r="Q12" s="524" t="s">
        <v>388</v>
      </c>
      <c r="R12" s="525" t="s">
        <v>389</v>
      </c>
      <c r="S12" s="519" t="s">
        <v>390</v>
      </c>
      <c r="T12" s="519"/>
      <c r="U12" s="519"/>
      <c r="V12" s="519"/>
    </row>
    <row customHeight="1" ht="15">
      <c r="A13" s="1938"/>
      <c r="B13" s="513"/>
      <c r="D13" s="514"/>
      <c r="E13" s="412"/>
      <c r="F13" s="537"/>
      <c r="G13" s="423" t="s">
        <v>102</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DEDFE9-2109-FA74-2EB9-2B6784711F3A}"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175" width="26.57421875" customWidth="1"/>
    <col min="2" max="2" style="3175" width="10.00390625" customWidth="1"/>
    <col min="3" max="3" style="3175" width="9.140625"/>
    <col min="4" max="4" style="3175" width="11.140625" customWidth="1"/>
    <col min="5" max="5" style="3175" width="16.57421875" customWidth="1"/>
    <col min="6" max="6" style="3175" width="16.28125" customWidth="1"/>
    <col min="7" max="7" style="3175" width="19.140625" customWidth="1"/>
    <col min="8" max="11" style="3175" width="10.00390625" customWidth="1"/>
    <col min="12" max="12" style="3175" width="12.7109375" customWidth="1"/>
    <col min="13" max="13" style="3175" width="61.28125" customWidth="1"/>
    <col min="14" max="14" style="3175" width="10.00390625" customWidth="1"/>
    <col min="15" max="17" style="3175" width="23.7109375" customWidth="1"/>
    <col min="18" max="18" style="3175" width="11.7109375" customWidth="1"/>
    <col min="19" max="19" style="3175" width="8.57421875" customWidth="1"/>
    <col min="20" max="20" style="3175" width="11.7109375" customWidth="1"/>
    <col min="21" max="21" style="3175" width="8.57421875" customWidth="1"/>
    <col min="22" max="22" style="3175" width="4.7109375" customWidth="1"/>
    <col min="23" max="23" style="3175" width="115.7109375" customWidth="1"/>
    <col min="24" max="24" style="3175" width="115.28125" customWidth="1"/>
    <col min="25" max="27" style="3175" width="9.140625"/>
    <col min="28" max="28" style="3175" width="115.7109375" customWidth="1"/>
    <col min="29" max="29" style="3175" width="9.140625"/>
    <col min="30" max="90" style="3175" width="115.7109375" customWidth="1"/>
    <col min="91" max="184" style="3175" width="9.140625"/>
  </cols>
  <sheetData>
    <row r="2" s="3151" customFormat="1" customHeight="1" ht="17.25">
      <c r="A2" s="1866" t="s">
        <v>391</v>
      </c>
    </row>
    <row r="4" s="3152" customFormat="1" customHeight="1" ht="15">
      <c r="C4" s="1867"/>
      <c r="D4" s="99"/>
      <c r="E4" s="380"/>
    </row>
    <row r="6" s="3151" customFormat="1" customHeight="1" ht="17.25">
      <c r="A6" s="1866" t="s">
        <v>392</v>
      </c>
    </row>
    <row r="8" s="3152" customFormat="1" customHeight="1" ht="17.25">
      <c r="C8" s="1868"/>
      <c r="D8" s="99"/>
      <c r="E8" s="100"/>
    </row>
    <row r="11" s="3151" customFormat="1" customHeight="1" ht="17.25">
      <c r="A11" s="1866" t="s">
        <v>393</v>
      </c>
    </row>
    <row r="13" s="3158" customFormat="1" customHeight="1" ht="15">
      <c r="A13" s="2056">
        <v>1</v>
      </c>
      <c r="B13" s="1174"/>
      <c r="C13" s="811" t="s">
        <v>121</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1" customFormat="1" customHeight="1" ht="15">
      <c r="A14" s="2056"/>
      <c r="B14" s="1174">
        <v>1</v>
      </c>
      <c r="C14" s="1174"/>
      <c r="D14" s="810" t="s">
        <v>121</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1" customFormat="1" customHeight="1" ht="15">
      <c r="A15" s="2056"/>
      <c r="B15" s="1174"/>
      <c r="C15" s="419"/>
      <c r="D15" s="811"/>
      <c r="E15" s="428"/>
      <c r="F15" s="163"/>
      <c r="G15" s="422" t="s">
        <v>102</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1" customFormat="1" customHeight="1" ht="15">
      <c r="A17" s="1866" t="s">
        <v>394</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1" customFormat="1" customHeight="1" ht="15">
      <c r="U18" s="171"/>
    </row>
    <row s="3168" customFormat="1" customHeight="1" ht="15">
      <c r="A19" s="430"/>
      <c r="B19" s="430"/>
      <c r="C19" s="1774" t="s">
        <v>121</v>
      </c>
      <c r="D19" s="1947" t="s">
        <v>109</v>
      </c>
      <c r="E19" s="2128"/>
      <c r="F19" s="1946" t="s">
        <v>56</v>
      </c>
      <c r="G19" s="2129"/>
      <c r="H19" s="1966">
        <v>1</v>
      </c>
      <c r="I19" s="2131" t="str">
        <f>IF(U19="","",INDEX(TERRITORY_MR_LIST,MATCH(U19,TERRITORY_LIST_ID,0)))</f>
        <v/>
      </c>
      <c r="J19" s="1946" t="s">
        <v>56</v>
      </c>
      <c r="K19" s="842"/>
      <c r="L19" s="1832" t="s">
        <v>109</v>
      </c>
      <c r="M19" s="611"/>
      <c r="N19" s="612"/>
      <c r="O19" s="612"/>
      <c r="P19" s="612"/>
      <c r="Q19" s="612"/>
      <c r="R19" s="612"/>
      <c r="S19" s="612"/>
      <c r="T19" s="612"/>
      <c r="U19" s="613"/>
      <c r="V19" s="612"/>
      <c r="W19" s="612"/>
      <c r="X19" s="603"/>
      <c r="Y19" s="603" t="s">
        <v>120</v>
      </c>
      <c r="Z19" s="603">
        <v>1705000</v>
      </c>
      <c r="AA19" s="603"/>
      <c r="AB19" s="603"/>
      <c r="AC19" s="603"/>
      <c r="AD19" s="603"/>
      <c r="AE19" s="603"/>
      <c r="AF19" s="603"/>
      <c r="AG19" s="603"/>
      <c r="AH19" s="603"/>
      <c r="AI19" s="603"/>
      <c r="AJ19" s="603"/>
      <c r="AK19" s="603"/>
      <c r="AL19" s="603"/>
    </row>
    <row s="3168" customFormat="1" customHeight="1" ht="15">
      <c r="A20" s="430"/>
      <c r="B20" s="430"/>
      <c r="C20" s="162"/>
      <c r="D20" s="1947"/>
      <c r="E20" s="2128"/>
      <c r="F20" s="1946"/>
      <c r="G20" s="2130"/>
      <c r="H20" s="1966"/>
      <c r="I20" s="2132"/>
      <c r="J20" s="1946"/>
      <c r="K20" s="428"/>
      <c r="L20" s="163"/>
      <c r="M20" s="615" t="s">
        <v>124</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168" customFormat="1" customHeight="1" ht="15">
      <c r="A21" s="430"/>
      <c r="B21" s="430"/>
      <c r="C21" s="162"/>
      <c r="D21" s="1947"/>
      <c r="E21" s="2128"/>
      <c r="F21" s="1946"/>
      <c r="G21" s="428"/>
      <c r="H21" s="163"/>
      <c r="I21" s="588" t="s">
        <v>125</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1" customFormat="1" customHeight="1" ht="15">
      <c r="U22" s="171"/>
    </row>
    <row s="2641" customFormat="1" customHeight="1" ht="15">
      <c r="A23" s="1866" t="s">
        <v>395</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1" customFormat="1" customHeight="1" ht="15">
      <c r="U24" s="171"/>
    </row>
    <row s="3168" customFormat="1" customHeight="1" ht="15">
      <c r="A25" s="430"/>
      <c r="B25" s="430"/>
      <c r="C25" s="162"/>
      <c r="D25" s="1872"/>
      <c r="E25" s="1872"/>
      <c r="F25" s="1872"/>
      <c r="G25" s="2133" t="s">
        <v>121</v>
      </c>
      <c r="H25" s="1942">
        <v>1</v>
      </c>
      <c r="I25" s="2134" t="str">
        <f>IF(U25="","",INDEX(TERRITORY_MR_LIST,MATCH(U25,TERRITORY_LIST_ID,0)))</f>
        <v/>
      </c>
      <c r="J25" s="1946" t="s">
        <v>56</v>
      </c>
      <c r="K25" s="842"/>
      <c r="L25" s="1832" t="s">
        <v>109</v>
      </c>
      <c r="M25" s="611"/>
      <c r="N25" s="612"/>
      <c r="O25" s="612"/>
      <c r="P25" s="612"/>
      <c r="Q25" s="612"/>
      <c r="R25" s="612"/>
      <c r="S25" s="612"/>
      <c r="T25" s="612"/>
      <c r="U25" s="613"/>
      <c r="V25" s="612"/>
      <c r="W25" s="612"/>
      <c r="X25" s="603"/>
      <c r="Y25" s="603" t="s">
        <v>120</v>
      </c>
      <c r="Z25" s="603">
        <v>1705000</v>
      </c>
      <c r="AA25" s="603"/>
      <c r="AB25" s="603"/>
      <c r="AC25" s="603"/>
      <c r="AD25" s="603"/>
      <c r="AE25" s="603"/>
      <c r="AF25" s="603"/>
      <c r="AG25" s="603"/>
      <c r="AH25" s="603"/>
      <c r="AI25" s="603"/>
      <c r="AJ25" s="603"/>
      <c r="AK25" s="603"/>
      <c r="AL25" s="603"/>
    </row>
    <row s="3168" customFormat="1" customHeight="1" ht="15">
      <c r="A26" s="430"/>
      <c r="B26" s="430"/>
      <c r="C26" s="162"/>
      <c r="D26" s="1872"/>
      <c r="E26" s="1872"/>
      <c r="F26" s="1872"/>
      <c r="G26" s="2133"/>
      <c r="H26" s="1942"/>
      <c r="I26" s="2134"/>
      <c r="J26" s="1946"/>
      <c r="K26" s="428"/>
      <c r="L26" s="163"/>
      <c r="M26" s="615" t="s">
        <v>124</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1" customFormat="1" customHeight="1" ht="15">
      <c r="U27" s="171"/>
    </row>
    <row s="2641" customFormat="1" customHeight="1" ht="15">
      <c r="A28" s="1866" t="s">
        <v>396</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1" customFormat="1" customHeight="1" ht="15">
      <c r="U29" s="171"/>
    </row>
    <row s="3168" customFormat="1" customHeight="1" ht="15">
      <c r="A30" s="430"/>
      <c r="B30" s="430"/>
      <c r="C30" s="162"/>
      <c r="D30" s="1872"/>
      <c r="E30" s="1872"/>
      <c r="F30" s="1872"/>
      <c r="G30" s="1872"/>
      <c r="H30" s="1872"/>
      <c r="I30" s="1872"/>
      <c r="J30" s="1872"/>
      <c r="K30" s="1850" t="s">
        <v>121</v>
      </c>
      <c r="L30" s="1775" t="s">
        <v>109</v>
      </c>
      <c r="M30" s="821"/>
      <c r="N30" s="822"/>
      <c r="O30" s="612"/>
      <c r="P30" s="612"/>
      <c r="Q30" s="612"/>
      <c r="R30" s="612"/>
      <c r="S30" s="612"/>
      <c r="T30" s="612"/>
      <c r="U30" s="613"/>
      <c r="V30" s="612"/>
      <c r="W30" s="612"/>
      <c r="X30" s="603"/>
      <c r="Y30" s="603" t="s">
        <v>120</v>
      </c>
      <c r="Z30" s="603">
        <v>1705000</v>
      </c>
      <c r="AA30" s="603"/>
      <c r="AB30" s="603"/>
      <c r="AC30" s="603"/>
      <c r="AD30" s="603"/>
      <c r="AE30" s="603"/>
      <c r="AF30" s="603"/>
      <c r="AG30" s="603"/>
      <c r="AH30" s="603"/>
      <c r="AI30" s="603"/>
      <c r="AJ30" s="603"/>
      <c r="AK30" s="603"/>
      <c r="AL30" s="603"/>
    </row>
    <row s="2641" customFormat="1" customHeight="1" ht="15">
      <c r="U31" s="171"/>
    </row>
    <row s="2641" customFormat="1" customHeight="1" ht="15">
      <c r="U32" s="171"/>
    </row>
    <row s="3151" customFormat="1" customHeight="1" ht="11.25">
      <c r="A33" s="1866" t="s">
        <v>397</v>
      </c>
    </row>
    <row customHeight="1" ht="11.25"/>
    <row s="3024" customFormat="1" customHeight="1" ht="22.5">
      <c r="A35" s="1841"/>
      <c r="B35" s="465"/>
      <c r="C35" s="869"/>
      <c r="D35" s="448"/>
      <c r="E35" s="870"/>
      <c r="F35" s="1863"/>
      <c r="G35" s="1873"/>
      <c r="H35" s="483"/>
    </row>
    <row customHeight="1" ht="11.25"/>
    <row s="3151" customFormat="1" customHeight="1" ht="11.25">
      <c r="A37" s="1866" t="s">
        <v>398</v>
      </c>
    </row>
    <row customHeight="1" ht="11.25"/>
    <row s="3024" customFormat="1" customHeight="1" ht="22.5">
      <c r="A39" s="465"/>
      <c r="B39" s="465"/>
      <c r="C39" s="465"/>
      <c r="D39" s="448"/>
      <c r="E39" s="870"/>
      <c r="F39" s="871"/>
      <c r="G39" s="1873"/>
      <c r="H39" s="483"/>
    </row>
    <row r="42" s="3151" customFormat="1" customHeight="1" ht="17.25">
      <c r="A42" s="1866" t="s">
        <v>399</v>
      </c>
    </row>
    <row r="44" s="3108" customFormat="1" customHeight="1" ht="18.75">
      <c r="A44" s="74"/>
      <c r="B44" s="1874"/>
      <c r="C44" s="1874"/>
      <c r="D44" s="1875"/>
      <c r="E44" s="1860"/>
      <c r="F44" s="878">
        <v>13</v>
      </c>
      <c r="G44" s="877"/>
      <c r="H44" s="803"/>
      <c r="I44" s="801"/>
      <c r="J44" s="528" t="s">
        <v>58</v>
      </c>
      <c r="K44" s="1876" t="s">
        <v>18</v>
      </c>
      <c r="L44" s="74"/>
      <c r="M44" s="1682"/>
      <c r="N44" s="1682"/>
      <c r="O44" s="1682"/>
      <c r="P44" s="524" t="s">
        <v>387</v>
      </c>
      <c r="Q44" s="524" t="s">
        <v>388</v>
      </c>
      <c r="R44" s="525" t="s">
        <v>389</v>
      </c>
      <c r="S44" s="1682" t="s">
        <v>390</v>
      </c>
      <c r="T44" s="1682"/>
      <c r="U44" s="1682"/>
      <c r="V44" s="1682"/>
    </row>
    <row r="46" s="3151" customFormat="1" customHeight="1" ht="11.25">
      <c r="A46" s="1866" t="s">
        <v>400</v>
      </c>
    </row>
    <row r="48" s="2885"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376</v>
      </c>
      <c r="AQ48" s="1670" t="s">
        <v>376</v>
      </c>
      <c r="AR48" s="1682"/>
      <c r="AS48" s="1682"/>
    </row>
    <row r="50" s="3151" customFormat="1" customHeight="1" ht="11.25">
      <c r="A50" s="1866" t="s">
        <v>401</v>
      </c>
    </row>
    <row r="52" s="3186" customFormat="1" customHeight="1" ht="15">
      <c r="A52" s="131" t="s">
        <v>90</v>
      </c>
      <c r="B52" s="111" t="s">
        <v>18</v>
      </c>
      <c r="C52" s="1878"/>
      <c r="D52" s="114"/>
      <c r="E52" s="387"/>
      <c r="F52" s="387"/>
      <c r="G52" s="1854"/>
      <c r="H52" s="1876"/>
      <c r="I52" s="1855"/>
      <c r="K52" s="258"/>
      <c r="L52" s="259"/>
    </row>
    <row r="54" s="3151" customFormat="1" customHeight="1" ht="11.25">
      <c r="A54" s="1866" t="s">
        <v>402</v>
      </c>
    </row>
    <row r="56" s="2885" customFormat="1" customHeight="1" ht="14.25">
      <c r="A56" s="339"/>
      <c r="B56" s="1174"/>
      <c r="C56" s="377"/>
      <c r="D56" s="1861"/>
      <c r="E56" s="897"/>
      <c r="F56" s="1876"/>
      <c r="G56" s="74"/>
      <c r="I56" s="1670"/>
      <c r="J56" s="1670"/>
    </row>
    <row r="58" s="3151" customFormat="1" customHeight="1" ht="11.25">
      <c r="A58" s="1866" t="s">
        <v>403</v>
      </c>
    </row>
    <row r="60" s="2885" customFormat="1" customHeight="1" ht="27">
      <c r="A60" s="1180"/>
      <c r="B60" s="1180"/>
      <c r="C60" s="1180"/>
      <c r="D60" s="1174"/>
      <c r="E60" s="1879"/>
      <c r="F60" s="2161"/>
      <c r="G60" s="2162"/>
      <c r="H60" s="2163" t="s">
        <v>58</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58</v>
      </c>
      <c r="Z60" s="1859"/>
      <c r="AA60" s="1843">
        <v>1</v>
      </c>
      <c r="AB60" s="1266"/>
      <c r="AD60" s="1682" t="s">
        <v>404</v>
      </c>
    </row>
    <row s="2885"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405</v>
      </c>
    </row>
    <row r="63" s="3151" customFormat="1" customHeight="1" ht="11.25">
      <c r="A63" s="1866" t="s">
        <v>406</v>
      </c>
    </row>
    <row r="65" s="2885"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404</v>
      </c>
    </row>
    <row r="67" s="3151" customFormat="1" customHeight="1" ht="11.25">
      <c r="A67" s="1866" t="s">
        <v>407</v>
      </c>
    </row>
    <row customHeight="1" ht="17.25"/>
    <row s="2885"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885" customFormat="1" customHeight="1" ht="11.25">
      <c r="A70" s="1180"/>
      <c r="B70" s="1180"/>
      <c r="C70" s="1180"/>
      <c r="D70" s="1174"/>
      <c r="E70" s="1184"/>
      <c r="F70" s="2114"/>
      <c r="G70" s="2094"/>
      <c r="H70" s="2094" t="s">
        <v>109</v>
      </c>
      <c r="I70" s="2095"/>
      <c r="J70" s="2096"/>
      <c r="K70" s="2097"/>
      <c r="L70" s="2086" t="s">
        <v>56</v>
      </c>
      <c r="M70" s="1947"/>
      <c r="N70" s="1193"/>
      <c r="O70" s="1192" t="s">
        <v>371</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885" customFormat="1" customHeight="1" ht="11.25">
      <c r="A71" s="1180"/>
      <c r="B71" s="1180"/>
      <c r="C71" s="1180"/>
      <c r="D71" s="1174"/>
      <c r="E71" s="1184"/>
      <c r="F71" s="2114"/>
      <c r="G71" s="2094"/>
      <c r="H71" s="2094"/>
      <c r="I71" s="2095"/>
      <c r="J71" s="2096"/>
      <c r="K71" s="2097"/>
      <c r="L71" s="2086"/>
      <c r="M71" s="1947"/>
      <c r="N71" s="2087"/>
      <c r="O71" s="2088">
        <v>1</v>
      </c>
      <c r="P71" s="2089" t="s">
        <v>56</v>
      </c>
      <c r="Q71" s="2092" t="s">
        <v>18</v>
      </c>
      <c r="R71" s="2092" t="s">
        <v>18</v>
      </c>
      <c r="S71" s="2092" t="s">
        <v>18</v>
      </c>
      <c r="T71" s="2092" t="s">
        <v>18</v>
      </c>
      <c r="U71" s="2092" t="s">
        <v>18</v>
      </c>
      <c r="V71" s="2092" t="s">
        <v>18</v>
      </c>
      <c r="W71" s="2092" t="s">
        <v>18</v>
      </c>
      <c r="X71" s="2092" t="s">
        <v>18</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885"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885"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408</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885" customFormat="1" customHeight="1" ht="11.25">
      <c r="A74" s="1180"/>
      <c r="B74" s="1180"/>
      <c r="C74" s="1180"/>
      <c r="D74" s="1174"/>
      <c r="E74" s="1184"/>
      <c r="F74" s="2114"/>
      <c r="G74" s="2094"/>
      <c r="H74" s="2094"/>
      <c r="I74" s="2095"/>
      <c r="J74" s="2096"/>
      <c r="K74" s="2097"/>
      <c r="L74" s="2086"/>
      <c r="M74" s="1947"/>
      <c r="N74" s="1191"/>
      <c r="O74" s="1191"/>
      <c r="P74" s="1182" t="s">
        <v>409</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885" customFormat="1" customHeight="1" ht="12">
      <c r="A75" s="1180"/>
      <c r="B75" s="1180"/>
      <c r="C75" s="1180"/>
      <c r="D75" s="1174"/>
      <c r="E75" s="1184"/>
      <c r="F75" s="2115"/>
      <c r="G75" s="1206"/>
      <c r="H75" s="1206"/>
      <c r="I75" s="2113" t="s">
        <v>410</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51" customFormat="1" customHeight="1" ht="11.25">
      <c r="A77" s="1866" t="s">
        <v>411</v>
      </c>
    </row>
    <row r="79" s="2885" customFormat="1" customHeight="1" ht="11.25">
      <c r="A79" s="1180"/>
      <c r="B79" s="1180"/>
      <c r="C79" s="1180"/>
      <c r="D79" s="1174"/>
      <c r="E79" s="1184"/>
      <c r="F79" s="1881"/>
      <c r="G79" s="1882"/>
      <c r="H79" s="1882"/>
      <c r="I79" s="1810"/>
      <c r="J79" s="1810"/>
      <c r="K79" s="1883"/>
      <c r="L79" s="1810"/>
      <c r="M79" s="1882"/>
      <c r="N79" s="2160"/>
      <c r="O79" s="2088">
        <v>1</v>
      </c>
      <c r="P79" s="2089" t="s">
        <v>56</v>
      </c>
      <c r="Q79" s="2092" t="s">
        <v>18</v>
      </c>
      <c r="R79" s="2092" t="s">
        <v>18</v>
      </c>
      <c r="S79" s="2092" t="s">
        <v>18</v>
      </c>
      <c r="T79" s="2092" t="s">
        <v>18</v>
      </c>
      <c r="U79" s="2092" t="s">
        <v>18</v>
      </c>
      <c r="V79" s="2092" t="s">
        <v>18</v>
      </c>
      <c r="W79" s="2092" t="s">
        <v>18</v>
      </c>
      <c r="X79" s="2092" t="s">
        <v>18</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885"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885"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408</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51" customFormat="1" customHeight="1" ht="11.25">
      <c r="A83" s="1866" t="s">
        <v>412</v>
      </c>
    </row>
    <row r="85" s="2885"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51" customFormat="1" customHeight="1" ht="11.25">
      <c r="A87" s="1866" t="s">
        <v>413</v>
      </c>
    </row>
    <row r="89" s="2885" customFormat="1" customHeight="1" ht="11.25">
      <c r="A89" s="1180"/>
      <c r="B89" s="1180"/>
      <c r="C89" s="1180"/>
      <c r="D89" s="1174"/>
      <c r="E89" s="1184"/>
      <c r="F89" s="1881"/>
      <c r="G89" s="1882"/>
      <c r="H89" s="2094" t="s">
        <v>109</v>
      </c>
      <c r="I89" s="2095"/>
      <c r="J89" s="2096"/>
      <c r="K89" s="2097"/>
      <c r="L89" s="2086" t="s">
        <v>56</v>
      </c>
      <c r="M89" s="1947"/>
      <c r="N89" s="1193"/>
      <c r="O89" s="1192" t="s">
        <v>371</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885" customFormat="1" customHeight="1" ht="11.25">
      <c r="A90" s="1180"/>
      <c r="B90" s="1180"/>
      <c r="C90" s="1180"/>
      <c r="D90" s="1174"/>
      <c r="E90" s="1184"/>
      <c r="F90" s="1881"/>
      <c r="G90" s="1882"/>
      <c r="H90" s="2094"/>
      <c r="I90" s="2095"/>
      <c r="J90" s="2096"/>
      <c r="K90" s="2097"/>
      <c r="L90" s="2086"/>
      <c r="M90" s="1947"/>
      <c r="N90" s="2087"/>
      <c r="O90" s="2088">
        <v>1</v>
      </c>
      <c r="P90" s="2089" t="s">
        <v>56</v>
      </c>
      <c r="Q90" s="2092" t="s">
        <v>18</v>
      </c>
      <c r="R90" s="2092" t="s">
        <v>18</v>
      </c>
      <c r="S90" s="2092" t="s">
        <v>18</v>
      </c>
      <c r="T90" s="2092" t="s">
        <v>18</v>
      </c>
      <c r="U90" s="2092" t="s">
        <v>18</v>
      </c>
      <c r="V90" s="2092" t="s">
        <v>18</v>
      </c>
      <c r="W90" s="2092" t="s">
        <v>18</v>
      </c>
      <c r="X90" s="2092" t="s">
        <v>18</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885"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885"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408</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885" customFormat="1" customHeight="1" ht="11.25">
      <c r="A93" s="1180"/>
      <c r="B93" s="1180"/>
      <c r="C93" s="1180"/>
      <c r="D93" s="1174"/>
      <c r="E93" s="1184"/>
      <c r="F93" s="1881"/>
      <c r="G93" s="1882"/>
      <c r="H93" s="2094"/>
      <c r="I93" s="2095"/>
      <c r="J93" s="2096"/>
      <c r="K93" s="2097"/>
      <c r="L93" s="2086"/>
      <c r="M93" s="1947"/>
      <c r="N93" s="1191"/>
      <c r="O93" s="1191"/>
      <c r="P93" s="1182" t="s">
        <v>409</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51" customFormat="1" customHeight="1" ht="11.25">
      <c r="A95" s="1866" t="s">
        <v>414</v>
      </c>
    </row>
    <row customHeight="1" ht="17.25"/>
    <row s="3290" customFormat="1" customHeight="1" ht="21">
      <c r="A97" s="1181"/>
      <c r="B97" s="952"/>
      <c r="D97" s="936"/>
      <c r="E97" s="951" t="s">
        <v>18</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290"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290" customFormat="1" customHeight="1" ht="12">
      <c r="A99" s="936"/>
      <c r="B99" s="935"/>
      <c r="C99" s="936"/>
      <c r="D99" s="936"/>
      <c r="E99" s="936"/>
      <c r="F99" s="1230"/>
      <c r="G99" s="1851" t="s">
        <v>415</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51" customFormat="1" customHeight="1" ht="11.25">
      <c r="A101" s="1866" t="s">
        <v>416</v>
      </c>
    </row>
    <row r="103" s="2641" customFormat="1" customHeight="1" ht="15" hidden="1">
      <c r="A103" s="631"/>
      <c r="B103" s="632"/>
      <c r="C103" s="632"/>
      <c r="D103" s="2157" t="s">
        <v>109</v>
      </c>
      <c r="E103" s="2142" t="s">
        <v>105</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18</v>
      </c>
      <c r="AF103" s="638"/>
      <c r="AG103" s="639" t="s">
        <v>417</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1" customFormat="1" customHeight="1" ht="15" hidden="1">
      <c r="A104" s="631"/>
      <c r="B104" s="632"/>
      <c r="C104" s="632"/>
      <c r="D104" s="2158"/>
      <c r="E104" s="2142" t="s">
        <v>418</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1" customFormat="1" customHeight="1" ht="15" hidden="1">
      <c r="A105" s="631"/>
      <c r="B105" s="632"/>
      <c r="C105" s="632"/>
      <c r="D105" s="2158"/>
      <c r="E105" s="2142" t="s">
        <v>419</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1" customFormat="1" customHeight="1" ht="24.75" hidden="1">
      <c r="A106" s="1857"/>
      <c r="B106" s="1174"/>
      <c r="C106" s="419"/>
      <c r="D106" s="2158"/>
      <c r="E106" s="2155" t="s">
        <v>420</v>
      </c>
      <c r="F106" s="2155"/>
      <c r="G106" s="2155"/>
      <c r="H106" s="2155"/>
      <c r="I106" s="2155"/>
      <c r="J106" s="2155"/>
      <c r="K106" s="2155"/>
      <c r="L106" s="2155"/>
      <c r="M106" s="2155"/>
      <c r="N106" s="2155"/>
      <c r="O106" s="2155"/>
      <c r="P106" s="2155"/>
      <c r="Q106" s="566">
        <f>SUMIF(T107:T108,"i",Q107:Q108)</f>
        <v>0</v>
      </c>
      <c r="R106" s="1030"/>
      <c r="S106" s="1849" t="s">
        <v>421</v>
      </c>
      <c r="T106" s="725" t="s">
        <v>422</v>
      </c>
      <c r="U106" s="2156">
        <v>1</v>
      </c>
      <c r="V106" s="2156" t="s">
        <v>423</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1"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1" customFormat="1" customHeight="1" ht="11.25" hidden="1">
      <c r="A108" s="1857"/>
      <c r="B108" s="1174"/>
      <c r="C108" s="419"/>
      <c r="D108" s="2158"/>
      <c r="E108" s="657" t="s">
        <v>18</v>
      </c>
      <c r="F108" s="1182" t="s">
        <v>18</v>
      </c>
      <c r="G108" s="1182" t="s">
        <v>424</v>
      </c>
      <c r="H108" s="659" t="s">
        <v>18</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1" customFormat="1" customHeight="1" ht="24.75" hidden="1">
      <c r="A109" s="1857"/>
      <c r="B109" s="1174"/>
      <c r="C109" s="419"/>
      <c r="D109" s="2158"/>
      <c r="E109" s="2155" t="s">
        <v>425</v>
      </c>
      <c r="F109" s="2155"/>
      <c r="G109" s="2155"/>
      <c r="H109" s="2155"/>
      <c r="I109" s="2155"/>
      <c r="J109" s="2155"/>
      <c r="K109" s="2155"/>
      <c r="L109" s="2155"/>
      <c r="M109" s="2155"/>
      <c r="N109" s="2155"/>
      <c r="O109" s="2155"/>
      <c r="P109" s="2155"/>
      <c r="Q109" s="566">
        <f>SUMIF(T110:T111,"i",Q110:Q111)</f>
        <v>0</v>
      </c>
      <c r="R109" s="1030"/>
      <c r="S109" s="1849" t="s">
        <v>426</v>
      </c>
      <c r="T109" s="725" t="s">
        <v>422</v>
      </c>
      <c r="U109" s="2156">
        <v>1</v>
      </c>
      <c r="V109" s="2156" t="s">
        <v>423</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1"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1" customFormat="1" customHeight="1" ht="11.25" hidden="1">
      <c r="A111" s="1857"/>
      <c r="B111" s="1174"/>
      <c r="C111" s="419"/>
      <c r="D111" s="2159"/>
      <c r="E111" s="657" t="s">
        <v>18</v>
      </c>
      <c r="F111" s="1182" t="s">
        <v>18</v>
      </c>
      <c r="G111" s="1182" t="s">
        <v>424</v>
      </c>
      <c r="H111" s="659" t="s">
        <v>18</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51" customFormat="1" customHeight="1" ht="11.25">
      <c r="A113" s="1866" t="s">
        <v>427</v>
      </c>
    </row>
    <row r="115" s="2641" customFormat="1" customHeight="1" ht="15">
      <c r="A115" s="631"/>
      <c r="B115" s="632"/>
      <c r="C115" s="632"/>
      <c r="D115" s="2157" t="s">
        <v>109</v>
      </c>
      <c r="E115" s="2142" t="s">
        <v>105</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18</v>
      </c>
      <c r="AF115" s="638"/>
      <c r="AG115" s="639" t="s">
        <v>417</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1" customFormat="1" customHeight="1" ht="15">
      <c r="A116" s="631"/>
      <c r="B116" s="632"/>
      <c r="C116" s="632"/>
      <c r="D116" s="2158"/>
      <c r="E116" s="2142" t="s">
        <v>418</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1" customFormat="1" customHeight="1" ht="15">
      <c r="A117" s="631"/>
      <c r="B117" s="632"/>
      <c r="C117" s="632"/>
      <c r="D117" s="2158"/>
      <c r="E117" s="2142" t="s">
        <v>419</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1" customFormat="1" customHeight="1" ht="24.75">
      <c r="A118" s="1857"/>
      <c r="B118" s="1174"/>
      <c r="C118" s="419"/>
      <c r="D118" s="2158"/>
      <c r="E118" s="2155" t="s">
        <v>420</v>
      </c>
      <c r="F118" s="2155"/>
      <c r="G118" s="2155"/>
      <c r="H118" s="2155"/>
      <c r="I118" s="2155"/>
      <c r="J118" s="2155"/>
      <c r="K118" s="2155"/>
      <c r="L118" s="2155"/>
      <c r="M118" s="2155"/>
      <c r="N118" s="2155"/>
      <c r="O118" s="2155"/>
      <c r="P118" s="2155"/>
      <c r="Q118" s="566">
        <f>SUMIF(T119:T120,"i",Q119:Q120)</f>
        <v>0</v>
      </c>
      <c r="R118" s="1030"/>
      <c r="S118" s="1849" t="s">
        <v>421</v>
      </c>
      <c r="T118" s="725" t="s">
        <v>422</v>
      </c>
      <c r="U118" s="2156">
        <v>1</v>
      </c>
      <c r="V118" s="2156" t="s">
        <v>423</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1"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1" customFormat="1" customHeight="1" ht="11.25">
      <c r="A120" s="1857"/>
      <c r="B120" s="1174"/>
      <c r="C120" s="419"/>
      <c r="D120" s="2158"/>
      <c r="E120" s="657" t="s">
        <v>18</v>
      </c>
      <c r="F120" s="1182" t="s">
        <v>18</v>
      </c>
      <c r="G120" s="1182" t="s">
        <v>424</v>
      </c>
      <c r="H120" s="659" t="s">
        <v>18</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9"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422</v>
      </c>
      <c r="U121" s="2156">
        <v>1</v>
      </c>
      <c r="V121" s="2156" t="s">
        <v>423</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9"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9"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51" customFormat="1" customHeight="1" ht="11.25">
      <c r="A125" s="1866" t="s">
        <v>428</v>
      </c>
    </row>
    <row r="127" s="2641" customFormat="1" customHeight="1" ht="45">
      <c r="A127" s="1857"/>
      <c r="B127" s="1174"/>
      <c r="C127" s="419"/>
      <c r="D127" s="74"/>
      <c r="E127" s="2146"/>
      <c r="F127" s="1947" t="s">
        <v>109</v>
      </c>
      <c r="G127" s="2149" t="s">
        <v>18</v>
      </c>
      <c r="H127" s="277"/>
      <c r="I127" s="645" t="s">
        <v>109</v>
      </c>
      <c r="J127" s="1858" t="s">
        <v>429</v>
      </c>
      <c r="K127" s="646" t="s">
        <v>430</v>
      </c>
      <c r="L127" s="2063" t="s">
        <v>430</v>
      </c>
      <c r="M127" s="2151"/>
      <c r="N127" s="646" t="s">
        <v>430</v>
      </c>
      <c r="O127" s="646" t="s">
        <v>430</v>
      </c>
      <c r="P127" s="646" t="s">
        <v>430</v>
      </c>
      <c r="Q127" s="647">
        <f>SUM(Q128:Q130)</f>
        <v>0</v>
      </c>
      <c r="R127" s="647">
        <f>IF(R124=0,0,(Q124/R124)*100)</f>
        <v>0</v>
      </c>
      <c r="S127" s="2016"/>
      <c r="T127" s="725" t="s">
        <v>422</v>
      </c>
      <c r="U127" s="74"/>
      <c r="V127" s="74"/>
      <c r="AC127" s="74"/>
    </row>
    <row s="2641" customFormat="1" customHeight="1" ht="11.25">
      <c r="A128" s="1857"/>
      <c r="B128" s="1174"/>
      <c r="C128" s="419"/>
      <c r="D128" s="74"/>
      <c r="E128" s="2147"/>
      <c r="F128" s="1947"/>
      <c r="G128" s="2149"/>
      <c r="H128" s="1966"/>
      <c r="I128" s="2094" t="s">
        <v>431</v>
      </c>
      <c r="J128" s="2152"/>
      <c r="K128" s="2153"/>
      <c r="L128" s="648"/>
      <c r="M128" s="649" t="s">
        <v>109</v>
      </c>
      <c r="N128" s="1846"/>
      <c r="O128" s="650"/>
      <c r="P128" s="651"/>
      <c r="Q128" s="650"/>
      <c r="R128" s="652">
        <v>0</v>
      </c>
      <c r="S128" s="2016"/>
      <c r="T128" s="725"/>
      <c r="U128" s="74"/>
      <c r="V128" s="74"/>
      <c r="AC128" s="74"/>
    </row>
    <row s="2641" customFormat="1" customHeight="1" ht="11.25">
      <c r="A129" s="1857"/>
      <c r="B129" s="1174"/>
      <c r="C129" s="419"/>
      <c r="D129" s="74"/>
      <c r="E129" s="2147"/>
      <c r="F129" s="1947"/>
      <c r="G129" s="2149"/>
      <c r="H129" s="1966"/>
      <c r="I129" s="2094"/>
      <c r="J129" s="2152"/>
      <c r="K129" s="2154"/>
      <c r="L129" s="653"/>
      <c r="M129" s="654"/>
      <c r="N129" s="655" t="s">
        <v>432</v>
      </c>
      <c r="O129" s="655"/>
      <c r="P129" s="655"/>
      <c r="Q129" s="655"/>
      <c r="R129" s="656"/>
      <c r="S129" s="2016"/>
      <c r="T129" s="725"/>
      <c r="U129" s="74"/>
      <c r="V129" s="74"/>
      <c r="AC129" s="74"/>
    </row>
    <row s="2641" customFormat="1" customHeight="1" ht="11.25">
      <c r="A130" s="1857"/>
      <c r="B130" s="1174"/>
      <c r="C130" s="419"/>
      <c r="D130" s="74"/>
      <c r="E130" s="2148"/>
      <c r="F130" s="1947"/>
      <c r="G130" s="2150"/>
      <c r="H130" s="653" t="s">
        <v>18</v>
      </c>
      <c r="I130" s="654"/>
      <c r="J130" s="655" t="s">
        <v>433</v>
      </c>
      <c r="K130" s="655"/>
      <c r="L130" s="655"/>
      <c r="M130" s="655"/>
      <c r="N130" s="655"/>
      <c r="O130" s="655"/>
      <c r="P130" s="655"/>
      <c r="Q130" s="655"/>
      <c r="R130" s="656"/>
      <c r="S130" s="2016"/>
      <c r="T130" s="725"/>
      <c r="U130" s="74"/>
      <c r="V130" s="74"/>
      <c r="AC130" s="74"/>
    </row>
    <row r="135" s="2641" customFormat="1" customHeight="1" ht="11.25">
      <c r="A135" s="1857"/>
      <c r="B135" s="1174"/>
      <c r="C135" s="419"/>
      <c r="D135" s="74"/>
      <c r="E135" s="1882"/>
      <c r="F135" s="1882"/>
      <c r="G135" s="1882"/>
      <c r="H135" s="1966"/>
      <c r="I135" s="2094" t="s">
        <v>431</v>
      </c>
      <c r="J135" s="2152"/>
      <c r="K135" s="2153"/>
      <c r="L135" s="648"/>
      <c r="M135" s="649" t="s">
        <v>109</v>
      </c>
      <c r="N135" s="1846"/>
      <c r="O135" s="650"/>
      <c r="P135" s="651"/>
      <c r="Q135" s="650"/>
      <c r="R135" s="652">
        <v>0</v>
      </c>
      <c r="S135" s="74"/>
      <c r="T135" s="725"/>
      <c r="U135" s="74"/>
      <c r="V135" s="74"/>
      <c r="AC135" s="74"/>
    </row>
    <row s="2641" customFormat="1" customHeight="1" ht="11.25">
      <c r="A136" s="1857"/>
      <c r="B136" s="1174"/>
      <c r="C136" s="419"/>
      <c r="D136" s="74"/>
      <c r="E136" s="1882"/>
      <c r="F136" s="1882"/>
      <c r="G136" s="1882"/>
      <c r="H136" s="1966"/>
      <c r="I136" s="2094"/>
      <c r="J136" s="2152"/>
      <c r="K136" s="2154"/>
      <c r="L136" s="653"/>
      <c r="M136" s="654"/>
      <c r="N136" s="655" t="s">
        <v>432</v>
      </c>
      <c r="O136" s="655"/>
      <c r="P136" s="655"/>
      <c r="Q136" s="655"/>
      <c r="R136" s="656"/>
      <c r="S136" s="74"/>
      <c r="T136" s="725"/>
      <c r="U136" s="74"/>
      <c r="V136" s="74"/>
      <c r="AC136" s="74"/>
    </row>
    <row r="138" s="2641" customFormat="1" customHeight="1" ht="11.25">
      <c r="A138" s="1857"/>
      <c r="B138" s="1174"/>
      <c r="C138" s="419"/>
      <c r="D138" s="74"/>
      <c r="E138" s="1889"/>
      <c r="F138" s="1887"/>
      <c r="G138" s="1887"/>
      <c r="H138" s="1890"/>
      <c r="I138" s="1882"/>
      <c r="J138" s="1883"/>
      <c r="K138" s="1883"/>
      <c r="L138" s="648"/>
      <c r="M138" s="649" t="s">
        <v>109</v>
      </c>
      <c r="N138" s="1846"/>
      <c r="O138" s="650"/>
      <c r="P138" s="651"/>
      <c r="Q138" s="650"/>
      <c r="R138" s="652">
        <v>0</v>
      </c>
      <c r="S138" s="74"/>
      <c r="T138" s="725"/>
      <c r="U138" s="74"/>
      <c r="V138" s="74"/>
      <c r="AC138" s="74"/>
    </row>
    <row r="140" s="3151" customFormat="1" customHeight="1" ht="17.25">
      <c r="A140" s="1866" t="s">
        <v>434</v>
      </c>
    </row>
    <row customHeight="1" ht="17.25">
      <c r="G141" s="1891"/>
      <c r="H141" s="1891"/>
      <c r="I141" s="1891"/>
      <c r="M141" s="1887"/>
    </row>
    <row s="3391" customFormat="1" customHeight="1" ht="17.25">
      <c r="A142" s="1892"/>
      <c r="C142" s="1894"/>
      <c r="D142" s="2083"/>
      <c r="E142" s="1982"/>
      <c r="F142" s="1984"/>
      <c r="G142" s="2111"/>
      <c r="H142" s="2083"/>
      <c r="I142" s="2083">
        <v>1</v>
      </c>
      <c r="J142" s="2079"/>
      <c r="K142" s="2022" t="s">
        <v>58</v>
      </c>
      <c r="L142" s="1947"/>
      <c r="M142" s="1947" t="s">
        <v>109</v>
      </c>
      <c r="N142" s="2081" t="str">
        <f>IF(Z142="","",INDEX(TERRITORY_MR_LIST,MATCH(Z142,TERRITORY_LIST_ID,0)))</f>
        <v/>
      </c>
      <c r="O142" s="2022" t="s">
        <v>58</v>
      </c>
      <c r="P142" s="1947"/>
      <c r="Q142" s="1947" t="s">
        <v>109</v>
      </c>
      <c r="R142" s="2077" t="s">
        <v>18</v>
      </c>
      <c r="S142" s="1946" t="s">
        <v>58</v>
      </c>
      <c r="T142" s="1862"/>
      <c r="U142" s="1862" t="s">
        <v>109</v>
      </c>
      <c r="V142" s="1895" t="s">
        <v>18</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391"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435</v>
      </c>
      <c r="W143" s="312"/>
      <c r="Y143" s="1294"/>
      <c r="Z143" s="1294"/>
      <c r="AA143" s="1294"/>
      <c r="AB143" s="1294"/>
      <c r="AC143" s="1294"/>
      <c r="AD143" s="1294"/>
      <c r="AE143" s="1294"/>
      <c r="AF143" s="1294"/>
      <c r="AG143" s="1294"/>
      <c r="AH143" s="1294"/>
      <c r="AI143" s="1294"/>
      <c r="AJ143" s="1294"/>
      <c r="AK143" s="1294"/>
    </row>
    <row s="3391" customFormat="1" customHeight="1" ht="17.25">
      <c r="A144" s="1892"/>
      <c r="C144" s="1897"/>
      <c r="D144" s="2080"/>
      <c r="E144" s="2110"/>
      <c r="F144" s="1985"/>
      <c r="G144" s="2112"/>
      <c r="H144" s="2080"/>
      <c r="I144" s="2080"/>
      <c r="J144" s="2084"/>
      <c r="K144" s="2023"/>
      <c r="L144" s="2080"/>
      <c r="M144" s="2080"/>
      <c r="N144" s="2082"/>
      <c r="O144" s="1951"/>
      <c r="P144" s="310"/>
      <c r="Q144" s="311"/>
      <c r="R144" s="311" t="s">
        <v>436</v>
      </c>
      <c r="S144" s="1898"/>
      <c r="T144" s="1898"/>
      <c r="U144" s="1898"/>
      <c r="V144" s="1898"/>
      <c r="W144" s="312"/>
      <c r="Y144" s="1294"/>
      <c r="Z144" s="1294"/>
      <c r="AA144" s="1294"/>
      <c r="AB144" s="1294"/>
      <c r="AC144" s="1294"/>
      <c r="AD144" s="1294"/>
      <c r="AE144" s="1294"/>
      <c r="AF144" s="1294"/>
      <c r="AG144" s="1294"/>
      <c r="AH144" s="1294"/>
      <c r="AI144" s="1294"/>
      <c r="AJ144" s="1294"/>
      <c r="AK144" s="1294"/>
    </row>
    <row s="3391" customFormat="1" customHeight="1" ht="17.25">
      <c r="A145" s="1892"/>
      <c r="C145" s="1897"/>
      <c r="D145" s="2080"/>
      <c r="E145" s="2110"/>
      <c r="F145" s="1985"/>
      <c r="G145" s="2112"/>
      <c r="H145" s="2080"/>
      <c r="I145" s="2080"/>
      <c r="J145" s="2084"/>
      <c r="K145" s="1951"/>
      <c r="L145" s="310"/>
      <c r="M145" s="311"/>
      <c r="N145" s="311" t="s">
        <v>437</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391" customFormat="1" customHeight="1" ht="17.25">
      <c r="A146" s="1892"/>
      <c r="C146" s="1897"/>
      <c r="D146" s="2080"/>
      <c r="E146" s="2110"/>
      <c r="F146" s="1986"/>
      <c r="G146" s="2112"/>
      <c r="H146" s="310"/>
      <c r="I146" s="311"/>
      <c r="J146" s="311" t="s">
        <v>438</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391" customFormat="1" customHeight="1" ht="17.25">
      <c r="A148" s="1892"/>
      <c r="C148" s="1894"/>
      <c r="D148" s="1882"/>
      <c r="E148" s="1899"/>
      <c r="F148" s="1834"/>
      <c r="G148" s="1900"/>
      <c r="H148" s="2083"/>
      <c r="I148" s="2083">
        <v>1</v>
      </c>
      <c r="J148" s="2079"/>
      <c r="K148" s="2022" t="s">
        <v>58</v>
      </c>
      <c r="L148" s="1947"/>
      <c r="M148" s="1947" t="s">
        <v>109</v>
      </c>
      <c r="N148" s="2081" t="str">
        <f>IF(Z148="","",INDEX(TERRITORY_MR_LIST,MATCH(Z148,TERRITORY_LIST_ID,0)))</f>
        <v/>
      </c>
      <c r="O148" s="2022" t="s">
        <v>58</v>
      </c>
      <c r="P148" s="1947"/>
      <c r="Q148" s="1947" t="s">
        <v>109</v>
      </c>
      <c r="R148" s="2077" t="s">
        <v>18</v>
      </c>
      <c r="S148" s="1946" t="s">
        <v>58</v>
      </c>
      <c r="T148" s="1862"/>
      <c r="U148" s="1862" t="s">
        <v>109</v>
      </c>
      <c r="V148" s="1895" t="s">
        <v>18</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391"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435</v>
      </c>
      <c r="W149" s="312"/>
      <c r="Y149" s="1294"/>
      <c r="Z149" s="1294"/>
      <c r="AA149" s="1294"/>
      <c r="AB149" s="1294"/>
      <c r="AC149" s="1294"/>
      <c r="AD149" s="1294"/>
      <c r="AE149" s="1294"/>
      <c r="AF149" s="1294"/>
      <c r="AG149" s="1294"/>
      <c r="AH149" s="1294"/>
      <c r="AI149" s="1294"/>
      <c r="AJ149" s="1294"/>
      <c r="AK149" s="1294"/>
    </row>
    <row s="3391" customFormat="1" customHeight="1" ht="17.25">
      <c r="A150" s="1892"/>
      <c r="C150" s="1897"/>
      <c r="D150" s="1882"/>
      <c r="E150" s="1899"/>
      <c r="F150" s="1834"/>
      <c r="G150" s="1900"/>
      <c r="H150" s="2080"/>
      <c r="I150" s="2080"/>
      <c r="J150" s="2084"/>
      <c r="K150" s="2023"/>
      <c r="L150" s="2080"/>
      <c r="M150" s="2080"/>
      <c r="N150" s="2082"/>
      <c r="O150" s="1951"/>
      <c r="P150" s="310"/>
      <c r="Q150" s="311"/>
      <c r="R150" s="311" t="s">
        <v>436</v>
      </c>
      <c r="S150" s="1898"/>
      <c r="T150" s="1898"/>
      <c r="U150" s="1898"/>
      <c r="V150" s="1898"/>
      <c r="W150" s="312"/>
      <c r="Y150" s="1294"/>
      <c r="Z150" s="1294"/>
      <c r="AA150" s="1294"/>
      <c r="AB150" s="1294"/>
      <c r="AC150" s="1294"/>
      <c r="AD150" s="1294"/>
      <c r="AE150" s="1294"/>
      <c r="AF150" s="1294"/>
      <c r="AG150" s="1294"/>
      <c r="AH150" s="1294"/>
      <c r="AI150" s="1294"/>
      <c r="AJ150" s="1294"/>
      <c r="AK150" s="1294"/>
    </row>
    <row s="3391" customFormat="1" customHeight="1" ht="17.25">
      <c r="A151" s="1892"/>
      <c r="C151" s="1897"/>
      <c r="D151" s="1882"/>
      <c r="E151" s="1899"/>
      <c r="F151" s="1834"/>
      <c r="G151" s="1900"/>
      <c r="H151" s="2080"/>
      <c r="I151" s="2080"/>
      <c r="J151" s="2084"/>
      <c r="K151" s="1951"/>
      <c r="L151" s="310"/>
      <c r="M151" s="311"/>
      <c r="N151" s="311" t="s">
        <v>437</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391" customFormat="1" customHeight="1" ht="17.25">
      <c r="A153" s="1892"/>
      <c r="C153" s="1894"/>
      <c r="D153" s="1882"/>
      <c r="E153" s="1899"/>
      <c r="F153" s="1834"/>
      <c r="G153" s="1900"/>
      <c r="H153" s="1882"/>
      <c r="I153" s="1882"/>
      <c r="J153" s="1901"/>
      <c r="K153" s="1806"/>
      <c r="L153" s="1947"/>
      <c r="M153" s="1947" t="s">
        <v>109</v>
      </c>
      <c r="N153" s="2081" t="str">
        <f>IF(Z153="","",INDEX(TERRITORY_MR_LIST,MATCH(Z153,TERRITORY_LIST_ID,0)))</f>
        <v/>
      </c>
      <c r="O153" s="2022" t="s">
        <v>58</v>
      </c>
      <c r="P153" s="1947"/>
      <c r="Q153" s="1947" t="s">
        <v>109</v>
      </c>
      <c r="R153" s="2077" t="s">
        <v>18</v>
      </c>
      <c r="S153" s="1946" t="s">
        <v>58</v>
      </c>
      <c r="T153" s="1862"/>
      <c r="U153" s="1862" t="s">
        <v>109</v>
      </c>
      <c r="V153" s="1895" t="s">
        <v>18</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391"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435</v>
      </c>
      <c r="W154" s="312"/>
      <c r="Y154" s="1294"/>
      <c r="Z154" s="1294"/>
      <c r="AA154" s="1294"/>
      <c r="AB154" s="1294"/>
      <c r="AC154" s="1294"/>
      <c r="AD154" s="1294"/>
      <c r="AE154" s="1294"/>
      <c r="AF154" s="1294"/>
      <c r="AG154" s="1294"/>
      <c r="AH154" s="1294"/>
      <c r="AI154" s="1294"/>
      <c r="AJ154" s="1294"/>
      <c r="AK154" s="1294"/>
    </row>
    <row s="3391" customFormat="1" customHeight="1" ht="17.25">
      <c r="A155" s="1892"/>
      <c r="C155" s="1897"/>
      <c r="D155" s="1882"/>
      <c r="E155" s="1899"/>
      <c r="F155" s="1834"/>
      <c r="G155" s="1900"/>
      <c r="H155" s="1882"/>
      <c r="I155" s="1882"/>
      <c r="J155" s="1901"/>
      <c r="K155" s="1806"/>
      <c r="L155" s="2080"/>
      <c r="M155" s="2080"/>
      <c r="N155" s="2082"/>
      <c r="O155" s="1951"/>
      <c r="P155" s="310"/>
      <c r="Q155" s="311"/>
      <c r="R155" s="311" t="s">
        <v>436</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391" customFormat="1" customHeight="1" ht="17.25">
      <c r="A157" s="1892"/>
      <c r="C157" s="1894"/>
      <c r="D157" s="1882"/>
      <c r="E157" s="1899"/>
      <c r="F157" s="1834"/>
      <c r="G157" s="1900"/>
      <c r="H157" s="1882"/>
      <c r="I157" s="1882"/>
      <c r="J157" s="1901"/>
      <c r="K157" s="1806"/>
      <c r="L157" s="1802"/>
      <c r="M157" s="1802"/>
      <c r="N157" s="1902"/>
      <c r="O157" s="1837"/>
      <c r="P157" s="1947"/>
      <c r="Q157" s="1947" t="s">
        <v>109</v>
      </c>
      <c r="R157" s="2077" t="s">
        <v>18</v>
      </c>
      <c r="S157" s="1946" t="s">
        <v>58</v>
      </c>
      <c r="T157" s="1862"/>
      <c r="U157" s="1862" t="s">
        <v>109</v>
      </c>
      <c r="V157" s="1895" t="s">
        <v>18</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391"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435</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391"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109</v>
      </c>
      <c r="V160" s="1895" t="s">
        <v>18</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51" customFormat="1" customHeight="1" ht="17.25">
      <c r="A162" s="1866" t="s">
        <v>439</v>
      </c>
    </row>
    <row customHeight="1" ht="17.25">
      <c r="G163" s="1891"/>
      <c r="H163" s="1891"/>
      <c r="I163" s="1891"/>
      <c r="M163" s="1887"/>
    </row>
    <row s="3391" customFormat="1" customHeight="1" ht="17.25">
      <c r="A164" s="1892"/>
      <c r="C164" s="1894"/>
      <c r="D164" s="2083"/>
      <c r="E164" s="1982"/>
      <c r="F164" s="1984"/>
      <c r="G164" s="2111"/>
      <c r="H164" s="2083"/>
      <c r="I164" s="2083">
        <v>1</v>
      </c>
      <c r="J164" s="2079"/>
      <c r="K164" s="2022" t="s">
        <v>58</v>
      </c>
      <c r="L164" s="1947"/>
      <c r="M164" s="1947" t="s">
        <v>109</v>
      </c>
      <c r="N164" s="2081" t="str">
        <f>IF(Z164="","",INDEX(TERRITORY_MR_LIST,MATCH(Z164,TERRITORY_LIST_ID,0)))</f>
        <v/>
      </c>
      <c r="O164" s="2022" t="s">
        <v>58</v>
      </c>
      <c r="P164" s="1947"/>
      <c r="Q164" s="1947" t="s">
        <v>109</v>
      </c>
      <c r="R164" s="2077" t="s">
        <v>18</v>
      </c>
      <c r="S164" s="2078" t="s">
        <v>56</v>
      </c>
      <c r="T164" s="1853"/>
      <c r="U164" s="1853" t="s">
        <v>109</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391"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391" customFormat="1" customHeight="1" ht="17.25">
      <c r="A166" s="1892"/>
      <c r="C166" s="1897"/>
      <c r="D166" s="2080"/>
      <c r="E166" s="2110"/>
      <c r="F166" s="1985"/>
      <c r="G166" s="2112"/>
      <c r="H166" s="2080"/>
      <c r="I166" s="2080"/>
      <c r="J166" s="2084"/>
      <c r="K166" s="2023"/>
      <c r="L166" s="2080"/>
      <c r="M166" s="2080"/>
      <c r="N166" s="2082"/>
      <c r="O166" s="1951"/>
      <c r="P166" s="310"/>
      <c r="Q166" s="311"/>
      <c r="R166" s="311" t="s">
        <v>436</v>
      </c>
      <c r="S166" s="1898"/>
      <c r="T166" s="1898"/>
      <c r="U166" s="1898"/>
      <c r="V166" s="1898"/>
      <c r="W166" s="1469"/>
      <c r="Y166" s="1294"/>
      <c r="Z166" s="1294"/>
      <c r="AA166" s="1294"/>
      <c r="AB166" s="1294"/>
      <c r="AC166" s="1294"/>
      <c r="AD166" s="1294"/>
      <c r="AE166" s="1294"/>
      <c r="AF166" s="1294"/>
      <c r="AG166" s="1294"/>
      <c r="AH166" s="1294"/>
      <c r="AI166" s="1294"/>
      <c r="AJ166" s="1294"/>
      <c r="AK166" s="1294"/>
    </row>
    <row s="3391" customFormat="1" customHeight="1" ht="17.25">
      <c r="A167" s="1892"/>
      <c r="C167" s="1897"/>
      <c r="D167" s="2080"/>
      <c r="E167" s="2110"/>
      <c r="F167" s="1985"/>
      <c r="G167" s="2112"/>
      <c r="H167" s="2080"/>
      <c r="I167" s="2080"/>
      <c r="J167" s="2084"/>
      <c r="K167" s="1951"/>
      <c r="L167" s="310"/>
      <c r="M167" s="311"/>
      <c r="N167" s="311" t="s">
        <v>437</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391" customFormat="1" customHeight="1" ht="17.25">
      <c r="A168" s="1892"/>
      <c r="C168" s="1897"/>
      <c r="D168" s="2080"/>
      <c r="E168" s="2110"/>
      <c r="F168" s="1986"/>
      <c r="G168" s="2112"/>
      <c r="H168" s="310"/>
      <c r="I168" s="311"/>
      <c r="J168" s="311" t="s">
        <v>438</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391" customFormat="1" customHeight="1" ht="17.25">
      <c r="A170" s="1892"/>
      <c r="C170" s="1894"/>
      <c r="D170" s="1882"/>
      <c r="E170" s="1899"/>
      <c r="F170" s="1834"/>
      <c r="G170" s="1900"/>
      <c r="H170" s="2083"/>
      <c r="I170" s="2083">
        <v>1</v>
      </c>
      <c r="J170" s="2079"/>
      <c r="K170" s="2022" t="s">
        <v>58</v>
      </c>
      <c r="L170" s="1947"/>
      <c r="M170" s="1947" t="s">
        <v>109</v>
      </c>
      <c r="N170" s="2081" t="str">
        <f>IF(Z170="","",INDEX(TERRITORY_MR_LIST,MATCH(Z170,TERRITORY_LIST_ID,0)))</f>
        <v/>
      </c>
      <c r="O170" s="2022" t="s">
        <v>58</v>
      </c>
      <c r="P170" s="1947"/>
      <c r="Q170" s="1947" t="s">
        <v>109</v>
      </c>
      <c r="R170" s="2077" t="s">
        <v>18</v>
      </c>
      <c r="S170" s="2078" t="s">
        <v>56</v>
      </c>
      <c r="T170" s="1853"/>
      <c r="U170" s="1853" t="s">
        <v>109</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391"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391" customFormat="1" customHeight="1" ht="17.25">
      <c r="A172" s="1892"/>
      <c r="C172" s="1897"/>
      <c r="D172" s="1882"/>
      <c r="E172" s="1899"/>
      <c r="F172" s="1834"/>
      <c r="G172" s="1900"/>
      <c r="H172" s="2080"/>
      <c r="I172" s="2080"/>
      <c r="J172" s="2084"/>
      <c r="K172" s="2023"/>
      <c r="L172" s="2080"/>
      <c r="M172" s="2080"/>
      <c r="N172" s="2082"/>
      <c r="O172" s="1951"/>
      <c r="P172" s="310"/>
      <c r="Q172" s="311"/>
      <c r="R172" s="311" t="s">
        <v>436</v>
      </c>
      <c r="S172" s="1898"/>
      <c r="T172" s="1898"/>
      <c r="U172" s="1898"/>
      <c r="V172" s="1898"/>
      <c r="W172" s="1469"/>
      <c r="Y172" s="1294"/>
      <c r="Z172" s="1294"/>
      <c r="AA172" s="1294"/>
      <c r="AB172" s="1294"/>
      <c r="AC172" s="1294"/>
      <c r="AD172" s="1294"/>
      <c r="AE172" s="1294"/>
      <c r="AF172" s="1294"/>
      <c r="AG172" s="1294"/>
      <c r="AH172" s="1294"/>
      <c r="AI172" s="1294"/>
      <c r="AJ172" s="1294"/>
      <c r="AK172" s="1294"/>
    </row>
    <row s="3391" customFormat="1" customHeight="1" ht="17.25">
      <c r="A173" s="1892"/>
      <c r="C173" s="1897"/>
      <c r="D173" s="1882"/>
      <c r="E173" s="1899"/>
      <c r="F173" s="1834"/>
      <c r="G173" s="1900"/>
      <c r="H173" s="2080"/>
      <c r="I173" s="2080"/>
      <c r="J173" s="2084"/>
      <c r="K173" s="1951"/>
      <c r="L173" s="310"/>
      <c r="M173" s="311"/>
      <c r="N173" s="311" t="s">
        <v>437</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391" customFormat="1" customHeight="1" ht="17.25">
      <c r="A175" s="1892"/>
      <c r="C175" s="1894"/>
      <c r="D175" s="1882"/>
      <c r="E175" s="1899"/>
      <c r="F175" s="1834"/>
      <c r="G175" s="1900"/>
      <c r="H175" s="1882"/>
      <c r="I175" s="1882"/>
      <c r="J175" s="1904"/>
      <c r="K175" s="1900"/>
      <c r="L175" s="1947"/>
      <c r="M175" s="1947" t="s">
        <v>109</v>
      </c>
      <c r="N175" s="2081" t="str">
        <f>IF(Z175="","",INDEX(TERRITORY_MR_LIST,MATCH(Z175,TERRITORY_LIST_ID,0)))</f>
        <v/>
      </c>
      <c r="O175" s="2022" t="s">
        <v>58</v>
      </c>
      <c r="P175" s="1947"/>
      <c r="Q175" s="1947" t="s">
        <v>109</v>
      </c>
      <c r="R175" s="2077" t="s">
        <v>18</v>
      </c>
      <c r="S175" s="2078" t="s">
        <v>56</v>
      </c>
      <c r="T175" s="1853"/>
      <c r="U175" s="1853" t="s">
        <v>109</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391"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391" customFormat="1" customHeight="1" ht="17.25">
      <c r="A177" s="1892"/>
      <c r="C177" s="1897"/>
      <c r="D177" s="1882"/>
      <c r="E177" s="1899"/>
      <c r="F177" s="1834"/>
      <c r="G177" s="1900"/>
      <c r="H177" s="1882"/>
      <c r="I177" s="1882"/>
      <c r="J177" s="1904"/>
      <c r="K177" s="1900"/>
      <c r="L177" s="2080"/>
      <c r="M177" s="2080"/>
      <c r="N177" s="2082"/>
      <c r="O177" s="1951"/>
      <c r="P177" s="310"/>
      <c r="Q177" s="311"/>
      <c r="R177" s="311" t="s">
        <v>436</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391" customFormat="1" customHeight="1" ht="17.25">
      <c r="A179" s="1892"/>
      <c r="C179" s="1894"/>
      <c r="D179" s="1882"/>
      <c r="E179" s="1899"/>
      <c r="F179" s="1834"/>
      <c r="G179" s="1900"/>
      <c r="H179" s="1882"/>
      <c r="I179" s="1882"/>
      <c r="J179" s="1904"/>
      <c r="K179" s="1900"/>
      <c r="L179" s="1882"/>
      <c r="M179" s="1882"/>
      <c r="N179" s="1902"/>
      <c r="O179" s="1837"/>
      <c r="P179" s="1947"/>
      <c r="Q179" s="1947" t="s">
        <v>109</v>
      </c>
      <c r="R179" s="2077" t="s">
        <v>18</v>
      </c>
      <c r="S179" s="2078" t="s">
        <v>56</v>
      </c>
      <c r="T179" s="1853"/>
      <c r="U179" s="1853" t="s">
        <v>109</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391"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51" customFormat="1" customHeight="1" ht="17.25">
      <c r="A188" s="1866" t="s">
        <v>440</v>
      </c>
    </row>
    <row customHeight="1" ht="17.25">
      <c r="G189" s="1891"/>
      <c r="H189" s="1891"/>
      <c r="I189" s="1891"/>
      <c r="M189" s="1887"/>
    </row>
    <row s="2641" customFormat="1" customHeight="1" ht="15">
      <c r="D190" s="2103"/>
      <c r="E190" s="2036"/>
      <c r="F190" s="2036"/>
      <c r="G190" s="2022"/>
      <c r="H190" s="1610"/>
      <c r="I190" s="2108">
        <v>1</v>
      </c>
      <c r="J190" s="2079"/>
      <c r="K190" s="1625"/>
      <c r="L190" s="2022" t="s">
        <v>58</v>
      </c>
      <c r="M190" s="2022" t="s">
        <v>58</v>
      </c>
      <c r="N190" s="1610"/>
      <c r="O190" s="1947" t="s">
        <v>109</v>
      </c>
      <c r="P190" s="2097"/>
      <c r="Q190" s="1626"/>
      <c r="R190" s="2022" t="s">
        <v>58</v>
      </c>
      <c r="S190" s="2022" t="s">
        <v>58</v>
      </c>
      <c r="T190" s="1908"/>
      <c r="U190" s="1947" t="s">
        <v>109</v>
      </c>
      <c r="V190" s="2104" t="str">
        <f>IF(AK190="","",INDEX(TERRITORY_MR_LIST,MATCH(AK190,TERRITORY_LIST_ID,0)))</f>
        <v/>
      </c>
      <c r="W190" s="1627"/>
      <c r="X190" s="2022" t="s">
        <v>58</v>
      </c>
      <c r="Y190" s="2022" t="s">
        <v>56</v>
      </c>
      <c r="Z190" s="1610"/>
      <c r="AA190" s="1947" t="s">
        <v>109</v>
      </c>
      <c r="AB190" s="2106"/>
      <c r="AC190" s="1628"/>
      <c r="AD190" s="2022" t="s">
        <v>58</v>
      </c>
      <c r="AE190" s="2022" t="s">
        <v>56</v>
      </c>
      <c r="AF190" s="1608"/>
      <c r="AG190" s="1862" t="s">
        <v>109</v>
      </c>
      <c r="AH190" s="1618"/>
      <c r="AI190" s="1852"/>
    </row>
    <row s="2641"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441</v>
      </c>
      <c r="AI191" s="2099"/>
    </row>
    <row s="2641"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442</v>
      </c>
      <c r="AC192" s="2100"/>
      <c r="AD192" s="2100"/>
      <c r="AE192" s="2100"/>
      <c r="AF192" s="2100"/>
      <c r="AG192" s="2100"/>
      <c r="AH192" s="2100"/>
      <c r="AI192" s="2101"/>
    </row>
    <row s="2641"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103</v>
      </c>
      <c r="W193" s="2098"/>
      <c r="X193" s="2098"/>
      <c r="Y193" s="2098"/>
      <c r="Z193" s="2098"/>
      <c r="AA193" s="2098"/>
      <c r="AB193" s="2098"/>
      <c r="AC193" s="2098"/>
      <c r="AD193" s="2098"/>
      <c r="AE193" s="2098"/>
      <c r="AF193" s="2098"/>
      <c r="AG193" s="2098"/>
      <c r="AH193" s="2098"/>
      <c r="AI193" s="2099"/>
    </row>
    <row s="2641" customFormat="1" customHeight="1" ht="11.25">
      <c r="D194" s="2103"/>
      <c r="E194" s="2036"/>
      <c r="F194" s="2036"/>
      <c r="G194" s="2023"/>
      <c r="H194" s="1614"/>
      <c r="I194" s="2108"/>
      <c r="J194" s="2109"/>
      <c r="K194" s="1609"/>
      <c r="L194" s="2023"/>
      <c r="M194" s="2023"/>
      <c r="N194" s="1614"/>
      <c r="O194" s="1615"/>
      <c r="P194" s="2098" t="s">
        <v>443</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872" customFormat="1" customHeight="1" ht="11.25">
      <c r="D195" s="2103"/>
      <c r="E195" s="2036"/>
      <c r="F195" s="2036"/>
      <c r="G195" s="1951"/>
      <c r="H195" s="1616"/>
      <c r="I195" s="1617"/>
      <c r="J195" s="2098" t="s">
        <v>438</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41"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41"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41"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41"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41"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872"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E8CA77-86F5-B7FE-483C-35A3BC693AED}"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3542" width="9.140625" hidden="1" customWidth="1"/>
    <col min="2" max="2" style="3520" width="9.140625" hidden="1" customWidth="1"/>
    <col min="3" max="3" style="3543" width="3.7109375" customWidth="1"/>
    <col min="4" max="4" style="2663" width="6.28125" customWidth="1"/>
    <col min="5" max="6" style="2663" width="64.140625" customWidth="1"/>
    <col min="7" max="7" style="2663" width="141.140625" customWidth="1"/>
    <col min="8" max="8" style="2663" width="10.57421875"/>
    <col min="9" max="10" style="2605" width="10.57421875"/>
    <col min="11" max="16" style="2663"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69"/>
      <c r="F5" s="2169"/>
      <c r="G5" s="2170"/>
    </row>
    <row s="2599" customFormat="1" customHeight="1" ht="18">
      <c r="A6" s="893"/>
      <c r="B6" s="424"/>
      <c r="C6" s="377"/>
      <c r="D6" s="2171" t="str">
        <f>IF(org=0,"Не определено",org)</f>
        <v>МУП "Уссурийск-Водоканал"</v>
      </c>
      <c r="E6" s="2172"/>
      <c r="F6" s="2172"/>
      <c r="G6" s="2173"/>
      <c r="I6" s="508"/>
      <c r="J6" s="508"/>
    </row>
    <row customHeight="1" ht="14.25">
      <c r="C7" s="82"/>
      <c r="D7" s="69"/>
      <c r="E7" s="81"/>
      <c r="F7" s="762"/>
      <c r="G7" s="179"/>
    </row>
    <row s="2885" customFormat="1" customHeight="1" ht="0.75">
      <c r="A8" s="1715"/>
      <c r="B8" s="1174"/>
      <c r="C8" s="377"/>
      <c r="D8" s="361"/>
      <c r="E8" s="395"/>
      <c r="F8" s="762"/>
      <c r="G8" s="179"/>
      <c r="I8" s="1670"/>
      <c r="J8" s="1670"/>
    </row>
    <row customHeight="1" ht="14.25">
      <c r="C9" s="82"/>
      <c r="D9" s="2047" t="s">
        <v>293</v>
      </c>
      <c r="E9" s="2047"/>
      <c r="F9" s="2047"/>
      <c r="G9" s="2174" t="s">
        <v>294</v>
      </c>
    </row>
    <row customHeight="1" ht="14.25">
      <c r="C10" s="82"/>
      <c r="D10" s="91" t="s">
        <v>88</v>
      </c>
      <c r="E10" s="94" t="s">
        <v>295</v>
      </c>
      <c r="F10" s="94" t="s">
        <v>385</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84" t="s">
        <v>299</v>
      </c>
      <c r="G12" s="137"/>
    </row>
    <row customHeight="1" ht="22.5">
      <c r="A13" s="178"/>
      <c r="C13" s="82"/>
      <c r="D13" s="133" t="s">
        <v>431</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299</v>
      </c>
      <c r="G13" s="137"/>
    </row>
    <row customHeight="1" ht="14.25">
      <c r="A14" s="178"/>
      <c r="C14" s="82"/>
      <c r="D14" s="133" t="s">
        <v>444</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445</v>
      </c>
      <c r="F15" s="187"/>
      <c r="G15" s="2008"/>
    </row>
    <row customHeight="1" ht="14.25">
      <c r="A16" s="178"/>
      <c r="C16" s="82"/>
      <c r="D16" s="133" t="s">
        <v>446</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84" t="s">
        <v>299</v>
      </c>
      <c r="G16" s="333"/>
    </row>
    <row customHeight="1" ht="14.25">
      <c r="A17" s="178"/>
      <c r="C17" s="82"/>
      <c r="D17" s="133" t="s">
        <v>447</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3519" customFormat="1" customHeight="1" ht="21">
      <c r="A18" s="339"/>
      <c r="B18" s="132"/>
      <c r="C18" s="296"/>
      <c r="D18" s="343"/>
      <c r="E18" s="345" t="s">
        <v>448</v>
      </c>
      <c r="F18" s="334"/>
      <c r="G18" s="2008"/>
      <c r="I18" s="346"/>
      <c r="J18" s="346"/>
    </row>
    <row s="2599" customFormat="1" customHeight="1" ht="256.5" hidden="1">
      <c r="A19" s="339"/>
      <c r="B19" s="424"/>
      <c r="C19" s="377"/>
      <c r="D19" s="895" t="s">
        <v>449</v>
      </c>
      <c r="E19" s="894" t="s">
        <v>450</v>
      </c>
      <c r="F19" s="391"/>
      <c r="G19" s="333" t="s">
        <v>451</v>
      </c>
      <c r="I19" s="508"/>
      <c r="J19" s="508"/>
    </row>
    <row s="3519" customFormat="1" customHeight="1" ht="14.25">
      <c r="A20" s="339"/>
      <c r="B20" s="132"/>
      <c r="C20" s="296"/>
      <c r="D20" s="896">
        <v>2</v>
      </c>
      <c r="E20" s="326" t="s">
        <v>452</v>
      </c>
      <c r="F20" s="184" t="s">
        <v>299</v>
      </c>
      <c r="G20" s="333"/>
      <c r="I20" s="346"/>
      <c r="J20" s="346"/>
    </row>
    <row s="3519" customFormat="1" customHeight="1" ht="18.75" hidden="1">
      <c r="A21" s="339"/>
      <c r="B21" s="132"/>
      <c r="C21" s="296"/>
      <c r="D21" s="329" t="s">
        <v>453</v>
      </c>
      <c r="E21" s="328"/>
      <c r="F21" s="327"/>
      <c r="G21" s="337"/>
      <c r="H21" s="330"/>
      <c r="I21" s="346"/>
      <c r="J21" s="346"/>
    </row>
    <row customHeight="1" ht="15">
      <c r="A22" s="178"/>
      <c r="C22" s="82"/>
      <c r="D22" s="95"/>
      <c r="E22" s="189" t="s">
        <v>454</v>
      </c>
      <c r="F22" s="334"/>
      <c r="G22" s="335"/>
    </row>
    <row s="2885" customFormat="1" customHeight="1" ht="22.5" hidden="1">
      <c r="A23" s="339"/>
      <c r="B23" s="1174"/>
      <c r="C23" s="377"/>
      <c r="D23" s="1719" t="s">
        <v>110</v>
      </c>
      <c r="E23" s="183" t="s">
        <v>455</v>
      </c>
      <c r="F23" s="1716" t="s">
        <v>299</v>
      </c>
      <c r="G23" s="341"/>
      <c r="I23" s="1670"/>
      <c r="J23" s="1670"/>
    </row>
    <row s="2885" customFormat="1" customHeight="1" ht="14.25" hidden="1">
      <c r="A24" s="339"/>
      <c r="B24" s="1174"/>
      <c r="C24" s="377"/>
      <c r="D24" s="1719" t="s">
        <v>456</v>
      </c>
      <c r="E24" s="1718" t="s">
        <v>457</v>
      </c>
      <c r="F24" s="1716" t="s">
        <v>299</v>
      </c>
      <c r="G24" s="333"/>
      <c r="I24" s="1670"/>
      <c r="J24" s="1670"/>
    </row>
    <row s="2885" customFormat="1" customHeight="1" ht="14.25" hidden="1">
      <c r="A25" s="339"/>
      <c r="B25" s="1174"/>
      <c r="C25" s="377"/>
      <c r="D25" s="1719" t="s">
        <v>458</v>
      </c>
      <c r="E25" s="181"/>
      <c r="F25" s="391"/>
      <c r="G25" s="2006" t="s">
        <v>459</v>
      </c>
      <c r="I25" s="1670"/>
      <c r="J25" s="1670"/>
    </row>
    <row s="2885" customFormat="1" customHeight="1" ht="22.5" hidden="1">
      <c r="A26" s="339"/>
      <c r="B26" s="1174"/>
      <c r="C26" s="377"/>
      <c r="D26" s="343"/>
      <c r="E26" s="345" t="s">
        <v>460</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7B2B0E-35EB-219C-9061-65850B6AC21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59" width="10.57421875" hidden="1"/>
    <col min="2" max="2" style="3159" width="11.00390625" hidden="1" customWidth="1"/>
    <col min="3" max="3" style="3159" width="10.57421875" hidden="1"/>
    <col min="4" max="4" style="3159" width="11.8515625" hidden="1" customWidth="1"/>
    <col min="5" max="5" style="3159" width="10.00390625" hidden="1" customWidth="1"/>
    <col min="6" max="6" style="3159" width="8.7109375" hidden="1" customWidth="1"/>
    <col min="7" max="7" style="3159" width="7.57421875" hidden="1" customWidth="1"/>
    <col min="8" max="8" style="3159" width="11.421875" hidden="1" customWidth="1"/>
    <col min="9" max="9" style="3159" width="12.00390625" hidden="1" customWidth="1"/>
    <col min="10" max="10" style="3159" width="9.8515625" hidden="1" customWidth="1"/>
    <col min="11" max="11" style="3159" width="11.421875" hidden="1" customWidth="1"/>
    <col min="12" max="12" style="3618" width="19.140625" hidden="1" customWidth="1"/>
    <col min="13" max="14" style="3619" width="12.28125" hidden="1" customWidth="1"/>
    <col min="15" max="15" style="3619" width="23.421875" hidden="1" customWidth="1"/>
    <col min="16" max="16" style="3693" width="3.7109375" customWidth="1"/>
    <col min="17" max="18" style="3694" width="3.7109375" customWidth="1"/>
    <col min="19" max="19" style="3695" width="12.7109375" customWidth="1"/>
    <col min="20" max="20" style="2876" width="35.7109375" customWidth="1"/>
    <col min="21" max="21" style="2876" width="0.140625" customWidth="1"/>
    <col min="22" max="22" style="2876" width="24.7109375" hidden="1" customWidth="1"/>
    <col min="23" max="23" style="2876" width="0.140625" hidden="1" customWidth="1"/>
    <col min="24" max="25" style="2876" width="24.7109375" hidden="1" customWidth="1"/>
    <col min="26" max="26" style="2876" width="11.7109375" hidden="1" customWidth="1"/>
    <col min="27" max="27" style="2876" width="3.7109375" hidden="1" customWidth="1"/>
    <col min="28" max="28" style="2876" width="11.7109375" hidden="1" customWidth="1"/>
    <col min="29" max="29" style="2876" width="8.57421875" hidden="1" customWidth="1"/>
    <col min="30" max="30" style="2876" width="24.7109375" customWidth="1"/>
    <col min="31" max="31" style="2876" width="0.140625" customWidth="1"/>
    <col min="32" max="33" style="2876" width="24.7109375" customWidth="1"/>
    <col min="34" max="34" style="2876" width="11.7109375" customWidth="1"/>
    <col min="35" max="35" style="2876" width="3.7109375" customWidth="1"/>
    <col min="36" max="36" style="2876" width="11.7109375" customWidth="1"/>
    <col min="37" max="37" style="2876" width="8.57421875" hidden="1" customWidth="1"/>
    <col min="38" max="38" style="2876" width="4.7109375" customWidth="1"/>
    <col min="39" max="39" style="2876"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130</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461</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462</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463</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464</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465</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466</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467</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468</v>
      </c>
      <c r="M6" s="545"/>
      <c r="P6" s="2190">
        <v>1</v>
      </c>
      <c r="Q6" s="1341"/>
      <c r="R6" s="352"/>
      <c r="S6" s="1345">
        <f>$I6</f>
      </c>
      <c r="T6" s="273" t="s">
        <v>469</v>
      </c>
      <c r="U6" s="288"/>
      <c r="V6" s="2178"/>
      <c r="W6" s="2179"/>
      <c r="X6" s="2179"/>
      <c r="Y6" s="2179"/>
      <c r="Z6" s="2179"/>
      <c r="AA6" s="2179"/>
      <c r="AB6" s="2179"/>
      <c r="AC6" s="2180"/>
      <c r="AD6" s="2178"/>
      <c r="AE6" s="2179"/>
      <c r="AF6" s="2179"/>
      <c r="AG6" s="2179"/>
      <c r="AH6" s="2179"/>
      <c r="AI6" s="2179"/>
      <c r="AJ6" s="2179"/>
      <c r="AK6" s="2179"/>
      <c r="AL6" s="2180"/>
      <c r="AM6" s="1292" t="s">
        <v>470</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471</v>
      </c>
      <c r="M7" s="545"/>
      <c r="N7" s="1402"/>
      <c r="P7" s="2190"/>
      <c r="Q7" s="2190">
        <v>1</v>
      </c>
      <c r="R7" s="353"/>
      <c r="S7" s="1345">
        <f>$J7</f>
      </c>
      <c r="T7" s="274" t="s">
        <v>472</v>
      </c>
      <c r="U7" s="288"/>
      <c r="V7" s="2178"/>
      <c r="W7" s="2179"/>
      <c r="X7" s="2179"/>
      <c r="Y7" s="2179"/>
      <c r="Z7" s="2179"/>
      <c r="AA7" s="2179"/>
      <c r="AB7" s="2179"/>
      <c r="AC7" s="2180"/>
      <c r="AD7" s="2178"/>
      <c r="AE7" s="2179"/>
      <c r="AF7" s="2179"/>
      <c r="AG7" s="2179"/>
      <c r="AH7" s="2179"/>
      <c r="AI7" s="2179"/>
      <c r="AJ7" s="2179"/>
      <c r="AK7" s="2179"/>
      <c r="AL7" s="2180"/>
      <c r="AM7" s="1292" t="s">
        <v>473</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474</v>
      </c>
      <c r="M8" s="545"/>
      <c r="N8" s="1402"/>
      <c r="O8" s="1402"/>
      <c r="P8" s="2190"/>
      <c r="Q8" s="2190"/>
      <c r="R8" s="353">
        <v>1</v>
      </c>
      <c r="S8" s="1345">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475</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476</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477</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478</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599"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9"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9"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58</v>
      </c>
      <c r="AJ17" s="2200"/>
      <c r="AK17" s="2201" t="s">
        <v>58</v>
      </c>
    </row>
    <row customHeight="1" ht="14.25" hidden="1">
      <c r="P18" s="1347"/>
      <c r="AD18" s="1396"/>
      <c r="AE18" s="1396"/>
      <c r="AF18" s="1396"/>
      <c r="AG18" s="324" t="str">
        <f>AH17&amp;"-"&amp;AJ17</f>
        <v>-</v>
      </c>
      <c r="AH18" s="2201"/>
      <c r="AI18" s="2201"/>
      <c r="AJ18" s="2201"/>
      <c r="AK18" s="2201"/>
    </row>
    <row customHeight="1" ht="14.25" hidden="1">
      <c r="P19" s="1347"/>
      <c r="AK19" s="323"/>
    </row>
    <row s="3159" customFormat="1" customHeight="1" ht="22.5" hidden="1">
      <c r="L20" s="1365"/>
      <c r="M20" s="1398"/>
      <c r="N20" s="1398"/>
      <c r="O20" s="1403" t="s">
        <v>479</v>
      </c>
      <c r="P20" s="1398"/>
      <c r="Q20" s="1407"/>
      <c r="R20" s="1407"/>
      <c r="S20" s="738"/>
      <c r="Z20" s="1403"/>
      <c r="AB20" s="1403"/>
      <c r="AC20" s="1402"/>
      <c r="AH20" s="1403"/>
      <c r="AJ20" s="1403"/>
      <c r="AK20" s="1402"/>
      <c r="AN20" s="519"/>
      <c r="AO20" s="519"/>
      <c r="AP20" s="519"/>
      <c r="AQ20" s="519"/>
      <c r="AR20" s="519"/>
    </row>
    <row s="3159" customFormat="1" customHeight="1" ht="14.25" hidden="1">
      <c r="L21" s="1365"/>
      <c r="M21" s="1398"/>
      <c r="N21" s="1398"/>
      <c r="O21" s="1398"/>
      <c r="P21" s="1398"/>
      <c r="Q21" s="1407"/>
      <c r="R21" s="1407"/>
      <c r="S21" s="738"/>
      <c r="AC21" s="1402"/>
      <c r="AK21" s="1402"/>
      <c r="AN21" s="519"/>
      <c r="AO21" s="519"/>
      <c r="AP21" s="519"/>
      <c r="AQ21" s="519"/>
      <c r="AR21" s="519"/>
    </row>
    <row s="3159" customFormat="1" customHeight="1" ht="14.25" hidden="1">
      <c r="L22" s="1365"/>
      <c r="M22" s="1398"/>
      <c r="N22" s="1398"/>
      <c r="O22" s="1400" t="s">
        <v>480</v>
      </c>
      <c r="P22" s="1398"/>
      <c r="Q22" s="1407"/>
      <c r="R22" s="1407"/>
      <c r="S22" s="738"/>
      <c r="T22" s="1174" t="s">
        <v>481</v>
      </c>
      <c r="AA22" s="172" t="s">
        <v>482</v>
      </c>
      <c r="AC22" s="172" t="s">
        <v>483</v>
      </c>
      <c r="AD22" s="1174" t="s">
        <v>481</v>
      </c>
      <c r="AI22" s="172" t="s">
        <v>484</v>
      </c>
      <c r="AK22" s="172" t="s">
        <v>483</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"Уссурийск-Водоканал"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8" customFormat="1" customHeight="1" ht="25.5" hidden="1">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8" customFormat="1" customHeight="1" ht="18.75" hidden="1">
      <c r="A30" s="1404"/>
      <c r="B30" s="1404"/>
      <c r="C30" s="1404"/>
      <c r="D30" s="1404"/>
      <c r="E30" s="1404"/>
      <c r="F30" s="1404"/>
      <c r="G30" s="1404"/>
      <c r="H30" s="1404"/>
      <c r="I30" s="1404"/>
      <c r="J30" s="1404"/>
      <c r="K30" s="1404"/>
      <c r="L30" s="1405"/>
      <c r="M30" s="1404"/>
      <c r="N30" s="1404"/>
      <c r="O30" s="1404"/>
      <c r="S30" s="2183" t="s">
        <v>485</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8" customFormat="1" customHeight="1" ht="18.75" hidden="1">
      <c r="A31" s="1404"/>
      <c r="B31" s="1404"/>
      <c r="C31" s="1404"/>
      <c r="D31" s="1404"/>
      <c r="E31" s="1404"/>
      <c r="F31" s="1404"/>
      <c r="G31" s="1404"/>
      <c r="H31" s="1404"/>
      <c r="I31" s="1404"/>
      <c r="J31" s="1404"/>
      <c r="K31" s="1404"/>
      <c r="L31" s="1405"/>
      <c r="M31" s="1404"/>
      <c r="N31" s="1404"/>
      <c r="O31" s="1404"/>
      <c r="S31" s="2183" t="s">
        <v>486</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8" customFormat="1" customHeight="1" ht="18.75" hidden="1">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8" customFormat="1" customHeight="1" ht="18.75" hidden="1">
      <c r="A34" s="1404"/>
      <c r="B34" s="1404"/>
      <c r="C34" s="1404"/>
      <c r="D34" s="1404"/>
      <c r="E34" s="1404"/>
      <c r="F34" s="1404"/>
      <c r="G34" s="1404"/>
      <c r="H34" s="1404"/>
      <c r="I34" s="1404"/>
      <c r="J34" s="1404"/>
      <c r="K34" s="1404"/>
      <c r="L34" s="1405"/>
      <c r="M34" s="1404"/>
      <c r="N34" s="1404"/>
      <c r="O34" s="1404"/>
      <c r="S34" s="2183" t="s">
        <v>487</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8" customFormat="1" customHeight="1" ht="18.75" hidden="1">
      <c r="A35" s="1404"/>
      <c r="B35" s="1404"/>
      <c r="C35" s="1404"/>
      <c r="D35" s="1404"/>
      <c r="E35" s="1404"/>
      <c r="F35" s="1404"/>
      <c r="G35" s="1404"/>
      <c r="H35" s="1404"/>
      <c r="I35" s="1404"/>
      <c r="J35" s="1404"/>
      <c r="K35" s="1404"/>
      <c r="L35" s="1405"/>
      <c r="M35" s="1404"/>
      <c r="N35" s="1404"/>
      <c r="O35" s="1404"/>
      <c r="S35" s="2183" t="s">
        <v>488</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8"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489</v>
      </c>
      <c r="AD36" s="322"/>
      <c r="AE36" s="322"/>
      <c r="AF36" s="322"/>
      <c r="AG36" s="322"/>
      <c r="AH36" s="322"/>
      <c r="AI36" s="322"/>
      <c r="AJ36" s="322"/>
      <c r="AK36" s="266" t="s">
        <v>489</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88</v>
      </c>
      <c r="T39" s="2047" t="s">
        <v>490</v>
      </c>
      <c r="U39" s="289"/>
      <c r="V39" s="2207" t="s">
        <v>491</v>
      </c>
      <c r="W39" s="2208"/>
      <c r="X39" s="2208"/>
      <c r="Y39" s="2208"/>
      <c r="Z39" s="2208"/>
      <c r="AA39" s="2208"/>
      <c r="AB39" s="2209"/>
      <c r="AC39" s="2210" t="s">
        <v>492</v>
      </c>
      <c r="AD39" s="2207" t="s">
        <v>491</v>
      </c>
      <c r="AE39" s="2208"/>
      <c r="AF39" s="2208"/>
      <c r="AG39" s="2208"/>
      <c r="AH39" s="2208"/>
      <c r="AI39" s="2208"/>
      <c r="AJ39" s="2209"/>
      <c r="AK39" s="2210" t="s">
        <v>493</v>
      </c>
      <c r="AL39" s="2213" t="s">
        <v>494</v>
      </c>
      <c r="AM39" s="1966"/>
    </row>
    <row customHeight="1" ht="33.75">
      <c r="Q40" s="377"/>
      <c r="R40" s="377"/>
      <c r="S40" s="2206"/>
      <c r="T40" s="2047"/>
      <c r="U40" s="1044"/>
      <c r="V40" s="2193" t="s">
        <v>495</v>
      </c>
      <c r="W40" s="2216" t="s">
        <v>496</v>
      </c>
      <c r="X40" s="2195" t="s">
        <v>497</v>
      </c>
      <c r="Y40" s="2196"/>
      <c r="Z40" s="2195" t="s">
        <v>498</v>
      </c>
      <c r="AA40" s="2202"/>
      <c r="AB40" s="2196"/>
      <c r="AC40" s="2211"/>
      <c r="AD40" s="2193" t="s">
        <v>495</v>
      </c>
      <c r="AE40" s="2216" t="s">
        <v>496</v>
      </c>
      <c r="AF40" s="2195" t="s">
        <v>497</v>
      </c>
      <c r="AG40" s="2196"/>
      <c r="AH40" s="2195" t="s">
        <v>498</v>
      </c>
      <c r="AI40" s="2202"/>
      <c r="AJ40" s="2196"/>
      <c r="AK40" s="2211"/>
      <c r="AL40" s="2214"/>
      <c r="AM40" s="1966"/>
    </row>
    <row customHeight="1" ht="33.75">
      <c r="A41" s="1406"/>
      <c r="B41" s="1406" t="s">
        <v>142</v>
      </c>
      <c r="C41" s="1406" t="s">
        <v>143</v>
      </c>
      <c r="D41" s="1406" t="s">
        <v>144</v>
      </c>
      <c r="E41" s="1400" t="s">
        <v>499</v>
      </c>
      <c r="F41" s="1400" t="s">
        <v>500</v>
      </c>
      <c r="G41" s="1400" t="s">
        <v>501</v>
      </c>
      <c r="H41" s="1400" t="s">
        <v>502</v>
      </c>
      <c r="I41" s="1400" t="s">
        <v>503</v>
      </c>
      <c r="J41" s="1400" t="s">
        <v>504</v>
      </c>
      <c r="K41" s="1400" t="s">
        <v>505</v>
      </c>
      <c r="L41" s="1400" t="s">
        <v>480</v>
      </c>
      <c r="Q41" s="377"/>
      <c r="R41" s="377"/>
      <c r="S41" s="2206"/>
      <c r="T41" s="2047"/>
      <c r="U41" s="290"/>
      <c r="V41" s="2194"/>
      <c r="W41" s="2217"/>
      <c r="X41" s="1243" t="s">
        <v>506</v>
      </c>
      <c r="Y41" s="1243" t="s">
        <v>507</v>
      </c>
      <c r="Z41" s="1242" t="s">
        <v>508</v>
      </c>
      <c r="AA41" s="2203" t="s">
        <v>509</v>
      </c>
      <c r="AB41" s="2204"/>
      <c r="AC41" s="2212"/>
      <c r="AD41" s="2194"/>
      <c r="AE41" s="2217"/>
      <c r="AF41" s="1243" t="s">
        <v>506</v>
      </c>
      <c r="AG41" s="1243" t="s">
        <v>507</v>
      </c>
      <c r="AH41" s="1349" t="s">
        <v>508</v>
      </c>
      <c r="AI41" s="2203" t="s">
        <v>509</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163</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130</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3.25">
      <c r="A44" s="1399" t="s">
        <v>163</v>
      </c>
      <c r="B44" s="1399" t="s">
        <v>164</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462</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463</v>
      </c>
      <c r="AO44" s="508"/>
      <c r="AP44" s="508" t="str">
        <f>IF(T44="","",T44)</f>
        <v>Территория действия тарифа</v>
      </c>
      <c r="AQ44" s="508"/>
      <c r="AR44" s="508"/>
    </row>
    <row customHeight="1" ht="23.25">
      <c r="A45" s="1399" t="s">
        <v>163</v>
      </c>
      <c r="B45" s="1399" t="s">
        <v>164</v>
      </c>
      <c r="C45" s="1399" t="s">
        <v>165</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464</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465</v>
      </c>
      <c r="AO45" s="508"/>
      <c r="AP45" s="508" t="str">
        <f>IF(T45="","",T45)</f>
        <v>Наименование системы теплоснабжения </v>
      </c>
      <c r="AQ45" s="508"/>
      <c r="AR45" s="508"/>
    </row>
    <row customHeight="1" ht="23.25">
      <c r="A46" s="1399" t="s">
        <v>163</v>
      </c>
      <c r="B46" s="1399" t="s">
        <v>164</v>
      </c>
      <c r="C46" s="1399" t="s">
        <v>165</v>
      </c>
      <c r="D46" s="1399" t="s">
        <v>166</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466</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467</v>
      </c>
      <c r="AO46" s="508"/>
      <c r="AP46" s="508" t="str">
        <f>IF(T46="","",T46)</f>
        <v>Источник тепловой энергии  </v>
      </c>
      <c r="AQ46" s="508"/>
      <c r="AR46" s="508"/>
    </row>
    <row customHeight="1" ht="47.25">
      <c r="A47" s="1399" t="s">
        <v>163</v>
      </c>
      <c r="B47" s="1399" t="s">
        <v>164</v>
      </c>
      <c r="C47" s="1399" t="s">
        <v>165</v>
      </c>
      <c r="D47" s="1399" t="s">
        <v>166</v>
      </c>
      <c r="E47" s="2192"/>
      <c r="F47" s="2192"/>
      <c r="G47" s="2192"/>
      <c r="H47" s="2192"/>
      <c r="I47" s="2189" t="str">
        <f>S46&amp;".1"</f>
        <v>....1</v>
      </c>
      <c r="J47" s="1399"/>
      <c r="K47" s="1399"/>
      <c r="L47" s="1400" t="s">
        <v>468</v>
      </c>
      <c r="P47" s="2190">
        <v>1</v>
      </c>
      <c r="Q47" s="1241"/>
      <c r="R47" s="352"/>
      <c r="S47" s="1247" t="str">
        <f>$I47</f>
        <v>....1</v>
      </c>
      <c r="T47" s="273" t="s">
        <v>469</v>
      </c>
      <c r="U47" s="288"/>
      <c r="V47" s="2178"/>
      <c r="W47" s="2179"/>
      <c r="X47" s="2179"/>
      <c r="Y47" s="2179"/>
      <c r="Z47" s="2179"/>
      <c r="AA47" s="2179"/>
      <c r="AB47" s="2179"/>
      <c r="AC47" s="2180"/>
      <c r="AD47" s="2178"/>
      <c r="AE47" s="2179"/>
      <c r="AF47" s="2179"/>
      <c r="AG47" s="2179"/>
      <c r="AH47" s="2179"/>
      <c r="AI47" s="2179"/>
      <c r="AJ47" s="2179"/>
      <c r="AK47" s="2179"/>
      <c r="AL47" s="2180"/>
      <c r="AM47" s="1292" t="s">
        <v>470</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163</v>
      </c>
      <c r="B48" s="1399" t="s">
        <v>164</v>
      </c>
      <c r="C48" s="1399" t="s">
        <v>165</v>
      </c>
      <c r="D48" s="1399" t="s">
        <v>166</v>
      </c>
      <c r="E48" s="2192"/>
      <c r="F48" s="2192"/>
      <c r="G48" s="2192"/>
      <c r="H48" s="2192"/>
      <c r="I48" s="2219"/>
      <c r="J48" s="2189" t="str">
        <f>I47&amp;".1"</f>
        <v>....1.1</v>
      </c>
      <c r="K48" s="1399"/>
      <c r="L48" s="1400" t="s">
        <v>471</v>
      </c>
      <c r="P48" s="2190"/>
      <c r="Q48" s="2190">
        <v>1</v>
      </c>
      <c r="R48" s="353"/>
      <c r="S48" s="1247" t="str">
        <f>$J48</f>
        <v>....1.1</v>
      </c>
      <c r="T48" s="274" t="s">
        <v>472</v>
      </c>
      <c r="U48" s="288"/>
      <c r="V48" s="2178"/>
      <c r="W48" s="2179"/>
      <c r="X48" s="2179"/>
      <c r="Y48" s="2179"/>
      <c r="Z48" s="2179"/>
      <c r="AA48" s="2179"/>
      <c r="AB48" s="2179"/>
      <c r="AC48" s="2180"/>
      <c r="AD48" s="2178"/>
      <c r="AE48" s="2179"/>
      <c r="AF48" s="2179"/>
      <c r="AG48" s="2179"/>
      <c r="AH48" s="2179"/>
      <c r="AI48" s="2179"/>
      <c r="AJ48" s="2179"/>
      <c r="AK48" s="2179"/>
      <c r="AL48" s="2180"/>
      <c r="AM48" s="1292" t="s">
        <v>473</v>
      </c>
      <c r="AO48" s="508"/>
      <c r="AP48" s="508" t="str">
        <f>IF(T48="","",T48)</f>
        <v>Группа потребителей</v>
      </c>
      <c r="AQ48" s="508"/>
      <c r="AR48" s="508"/>
    </row>
    <row customHeight="1" ht="23.25">
      <c r="A49" s="1399" t="s">
        <v>163</v>
      </c>
      <c r="B49" s="1399" t="s">
        <v>164</v>
      </c>
      <c r="C49" s="1399" t="s">
        <v>165</v>
      </c>
      <c r="D49" s="1399" t="s">
        <v>166</v>
      </c>
      <c r="E49" s="2192"/>
      <c r="F49" s="2192"/>
      <c r="G49" s="2192"/>
      <c r="H49" s="2192"/>
      <c r="I49" s="2219"/>
      <c r="J49" s="2219"/>
      <c r="K49" s="2189" t="str">
        <f>J48&amp;".1"</f>
        <v>....1.1.1</v>
      </c>
      <c r="L49" s="1400" t="s">
        <v>474</v>
      </c>
      <c r="P49" s="2190"/>
      <c r="Q49" s="2190"/>
      <c r="R49" s="353">
        <v>1</v>
      </c>
      <c r="S49" s="1247" t="str">
        <f>$K49</f>
        <v>....1.1.1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475</v>
      </c>
      <c r="AN49" s="519">
        <f>STRCHECKDATE(V50:AL50)</f>
      </c>
      <c r="AO49" s="508"/>
      <c r="AP49" s="508" t="str">
        <f>IF(T49="","",T49)</f>
        <v/>
      </c>
      <c r="AQ49" s="508"/>
      <c r="AR49" s="508"/>
    </row>
    <row customHeight="1" ht="0.75">
      <c r="A50" s="1399" t="s">
        <v>163</v>
      </c>
      <c r="B50" s="1399" t="s">
        <v>164</v>
      </c>
      <c r="C50" s="1399" t="s">
        <v>165</v>
      </c>
      <c r="D50" s="1399" t="s">
        <v>166</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163</v>
      </c>
      <c r="B51" s="1399" t="s">
        <v>164</v>
      </c>
      <c r="C51" s="1399" t="s">
        <v>165</v>
      </c>
      <c r="D51" s="1399" t="s">
        <v>166</v>
      </c>
      <c r="E51" s="2192"/>
      <c r="F51" s="2192"/>
      <c r="G51" s="2192"/>
      <c r="H51" s="2192"/>
      <c r="I51" s="2219"/>
      <c r="J51" s="2189"/>
      <c r="K51" s="1399"/>
      <c r="L51" s="1400"/>
      <c r="P51" s="2190"/>
      <c r="Q51" s="2190"/>
      <c r="R51" s="352"/>
      <c r="S51" s="1314"/>
      <c r="T51" s="276" t="s">
        <v>476</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163</v>
      </c>
      <c r="B52" s="1399" t="s">
        <v>164</v>
      </c>
      <c r="C52" s="1399" t="s">
        <v>165</v>
      </c>
      <c r="D52" s="1399" t="s">
        <v>166</v>
      </c>
      <c r="E52" s="2192"/>
      <c r="F52" s="2192"/>
      <c r="G52" s="2192"/>
      <c r="H52" s="2192"/>
      <c r="I52" s="2189"/>
      <c r="J52" s="1399"/>
      <c r="K52" s="1399"/>
      <c r="L52" s="1400"/>
      <c r="P52" s="2190"/>
      <c r="Q52" s="1241"/>
      <c r="R52" s="352"/>
      <c r="S52" s="1314"/>
      <c r="T52" s="275" t="s">
        <v>477</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163</v>
      </c>
      <c r="B53" s="1399" t="s">
        <v>164</v>
      </c>
      <c r="C53" s="1399" t="s">
        <v>165</v>
      </c>
      <c r="D53" s="1399" t="s">
        <v>166</v>
      </c>
      <c r="E53" s="2192"/>
      <c r="F53" s="2192"/>
      <c r="G53" s="2192"/>
      <c r="H53" s="2191"/>
      <c r="I53" s="1399"/>
      <c r="J53" s="1399"/>
      <c r="K53" s="1399"/>
      <c r="L53" s="1400"/>
      <c r="M53" s="1401"/>
      <c r="N53" s="1401"/>
      <c r="O53" s="545"/>
      <c r="P53" s="356"/>
      <c r="Q53" s="376"/>
      <c r="R53" s="351"/>
      <c r="S53" s="1314"/>
      <c r="T53" s="364" t="s">
        <v>478</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599" customFormat="1" customHeight="1" ht="0.75">
      <c r="A54" s="1379" t="s">
        <v>163</v>
      </c>
      <c r="B54" s="1379" t="s">
        <v>164</v>
      </c>
      <c r="C54" s="1379" t="s">
        <v>165</v>
      </c>
      <c r="D54" s="1350"/>
      <c r="E54" s="2192"/>
      <c r="F54" s="2192"/>
      <c r="G54" s="2191"/>
      <c r="H54" s="1350"/>
      <c r="I54" s="1350"/>
      <c r="J54" s="1350"/>
      <c r="K54" s="1350"/>
      <c r="L54" s="1375"/>
      <c r="M54" s="1351"/>
      <c r="N54" s="1351"/>
      <c r="P54" s="1352"/>
      <c r="Q54" s="1353"/>
      <c r="R54" s="1352"/>
      <c r="S54" s="1358"/>
      <c r="T54" s="1361" t="s">
        <v>435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9" customFormat="1" customHeight="1" ht="0.75">
      <c r="A55" s="1379" t="s">
        <v>163</v>
      </c>
      <c r="B55" s="1379" t="s">
        <v>164</v>
      </c>
      <c r="C55" s="1350"/>
      <c r="D55" s="1350"/>
      <c r="E55" s="2192"/>
      <c r="F55" s="2191"/>
      <c r="G55" s="1350"/>
      <c r="H55" s="1350"/>
      <c r="I55" s="1350"/>
      <c r="J55" s="1350"/>
      <c r="K55" s="1350"/>
      <c r="L55" s="1375"/>
      <c r="M55" s="1357"/>
      <c r="N55" s="1357"/>
      <c r="P55" s="1352"/>
      <c r="Q55" s="1353"/>
      <c r="R55" s="1352"/>
      <c r="S55" s="1358"/>
      <c r="T55" s="1361" t="s">
        <v>436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163</v>
      </c>
      <c r="B56" s="1379"/>
      <c r="C56" s="1379"/>
      <c r="D56" s="1379"/>
      <c r="E56" s="2191"/>
      <c r="F56" s="1379"/>
      <c r="G56" s="1379"/>
      <c r="H56" s="1379"/>
      <c r="I56" s="1379"/>
      <c r="J56" s="1379"/>
      <c r="K56" s="1379"/>
      <c r="L56" s="1382"/>
      <c r="M56" s="1357"/>
      <c r="N56" s="1357"/>
      <c r="O56" s="526"/>
      <c r="P56" s="385"/>
      <c r="Q56" s="1380"/>
      <c r="R56" s="385"/>
      <c r="S56" s="1358"/>
      <c r="T56" s="1361" t="s">
        <v>437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9"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510</v>
      </c>
      <c r="T59" s="2218" t="s">
        <v>511</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hidden="1">
      <c r="O60" s="545"/>
      <c r="P60" s="1339"/>
      <c r="T60" s="2218" t="s">
        <v>512</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510</v>
      </c>
      <c r="T62" s="2218" t="s">
        <v>513</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514</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515</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62A73A-A6B2-EE14-230D-E95FC7580A4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59" width="10.57421875" hidden="1"/>
    <col min="2" max="2" style="3159" width="11.00390625" hidden="1" customWidth="1"/>
    <col min="3" max="3" style="3159" width="10.57421875" hidden="1"/>
    <col min="4" max="4" style="3159" width="11.8515625" hidden="1" customWidth="1"/>
    <col min="5" max="5" style="3159" width="10.00390625" hidden="1" customWidth="1"/>
    <col min="6" max="6" style="3159" width="8.7109375" hidden="1" customWidth="1"/>
    <col min="7" max="7" style="3159" width="7.57421875" hidden="1" customWidth="1"/>
    <col min="8" max="8" style="3159" width="11.421875" hidden="1" customWidth="1"/>
    <col min="9" max="9" style="3159" width="12.00390625" hidden="1" customWidth="1"/>
    <col min="10" max="10" style="3159" width="9.8515625" hidden="1" customWidth="1"/>
    <col min="11" max="11" style="3159" width="11.421875" hidden="1" customWidth="1"/>
    <col min="12" max="12" style="3618" width="19.140625" hidden="1" customWidth="1"/>
    <col min="13" max="14" style="3619" width="12.28125" hidden="1" customWidth="1"/>
    <col min="15" max="15" style="3619" width="23.421875" hidden="1" customWidth="1"/>
    <col min="16" max="16" style="3638" width="3.7109375" customWidth="1"/>
    <col min="17" max="18" style="3694" width="3.7109375" customWidth="1"/>
    <col min="19" max="19" style="3695" width="12.7109375" customWidth="1"/>
    <col min="20" max="20" style="2876" width="32.00390625" customWidth="1"/>
    <col min="21" max="21" style="2876" width="0.140625" customWidth="1"/>
    <col min="22" max="22" style="2876" width="24.7109375" hidden="1" customWidth="1"/>
    <col min="23" max="23" style="2876" width="0.140625" hidden="1" customWidth="1"/>
    <col min="24" max="25" style="2876" width="24.7109375" hidden="1" customWidth="1"/>
    <col min="26" max="26" style="2876" width="11.7109375" hidden="1" customWidth="1"/>
    <col min="27" max="27" style="2876" width="3.7109375" hidden="1" customWidth="1"/>
    <col min="28" max="28" style="2876" width="11.7109375" hidden="1" customWidth="1"/>
    <col min="29" max="29" style="2876" width="8.57421875" hidden="1" customWidth="1"/>
    <col min="30" max="30" style="2876" width="24.7109375" customWidth="1"/>
    <col min="31" max="31" style="2876" width="0.140625" customWidth="1"/>
    <col min="32" max="33" style="2876" width="24.7109375" customWidth="1"/>
    <col min="34" max="34" style="2876" width="11.7109375" customWidth="1"/>
    <col min="35" max="35" style="2876" width="3.7109375" customWidth="1"/>
    <col min="36" max="36" style="2876" width="11.7109375" customWidth="1"/>
    <col min="37" max="37" style="2876" width="8.57421875" hidden="1" customWidth="1"/>
    <col min="38" max="38" style="2876" width="4.7109375" customWidth="1"/>
    <col min="39" max="39" style="2876"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130</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461</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462</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463</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464</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465</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466</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467</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468</v>
      </c>
      <c r="M6" s="545"/>
      <c r="P6" s="2190">
        <v>1</v>
      </c>
      <c r="Q6" s="1367"/>
      <c r="R6" s="352"/>
      <c r="S6" s="1372">
        <f>$I6</f>
      </c>
      <c r="T6" s="273" t="s">
        <v>469</v>
      </c>
      <c r="U6" s="288"/>
      <c r="V6" s="2178"/>
      <c r="W6" s="2179"/>
      <c r="X6" s="2179"/>
      <c r="Y6" s="2179"/>
      <c r="Z6" s="2179"/>
      <c r="AA6" s="2179"/>
      <c r="AB6" s="2179"/>
      <c r="AC6" s="2180"/>
      <c r="AD6" s="2178"/>
      <c r="AE6" s="2179"/>
      <c r="AF6" s="2179"/>
      <c r="AG6" s="2179"/>
      <c r="AH6" s="2179"/>
      <c r="AI6" s="2179"/>
      <c r="AJ6" s="2179"/>
      <c r="AK6" s="2179"/>
      <c r="AL6" s="2180"/>
      <c r="AM6" s="1292" t="s">
        <v>470</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471</v>
      </c>
      <c r="M7" s="545"/>
      <c r="N7" s="1402"/>
      <c r="P7" s="2190"/>
      <c r="Q7" s="2190">
        <v>1</v>
      </c>
      <c r="R7" s="353"/>
      <c r="S7" s="1372">
        <f>$J7</f>
      </c>
      <c r="T7" s="274" t="s">
        <v>472</v>
      </c>
      <c r="U7" s="288"/>
      <c r="V7" s="2178"/>
      <c r="W7" s="2179"/>
      <c r="X7" s="2179"/>
      <c r="Y7" s="2179"/>
      <c r="Z7" s="2179"/>
      <c r="AA7" s="2179"/>
      <c r="AB7" s="2179"/>
      <c r="AC7" s="2180"/>
      <c r="AD7" s="2178"/>
      <c r="AE7" s="2179"/>
      <c r="AF7" s="2179"/>
      <c r="AG7" s="2179"/>
      <c r="AH7" s="2179"/>
      <c r="AI7" s="2179"/>
      <c r="AJ7" s="2179"/>
      <c r="AK7" s="2179"/>
      <c r="AL7" s="2180"/>
      <c r="AM7" s="1292" t="s">
        <v>473</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474</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475</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476</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477</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478</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599"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9"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9"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59" customFormat="1" customHeight="1" ht="22.5" hidden="1">
      <c r="L20" s="1365"/>
      <c r="M20" s="1398"/>
      <c r="N20" s="1398"/>
      <c r="O20" s="1403" t="s">
        <v>479</v>
      </c>
      <c r="P20" s="1398"/>
      <c r="Q20" s="1407"/>
      <c r="R20" s="1407"/>
      <c r="S20" s="738"/>
      <c r="Z20" s="1403"/>
      <c r="AB20" s="1403"/>
      <c r="AC20" s="1402"/>
      <c r="AH20" s="1403"/>
      <c r="AJ20" s="1403"/>
      <c r="AK20" s="1402"/>
      <c r="AN20" s="519"/>
      <c r="AO20" s="519"/>
      <c r="AP20" s="519"/>
      <c r="AQ20" s="519"/>
      <c r="AR20" s="519"/>
    </row>
    <row s="3159" customFormat="1" customHeight="1" ht="14.25" hidden="1">
      <c r="L21" s="1365"/>
      <c r="M21" s="1398"/>
      <c r="N21" s="1398"/>
      <c r="O21" s="1398"/>
      <c r="P21" s="1398"/>
      <c r="Q21" s="1407"/>
      <c r="R21" s="1407"/>
      <c r="S21" s="738"/>
      <c r="AC21" s="1402"/>
      <c r="AK21" s="1402"/>
      <c r="AN21" s="519"/>
      <c r="AO21" s="519"/>
      <c r="AP21" s="519"/>
      <c r="AQ21" s="519"/>
      <c r="AR21" s="519"/>
    </row>
    <row s="3159" customFormat="1" customHeight="1" ht="14.25" hidden="1">
      <c r="L22" s="1365"/>
      <c r="M22" s="1398"/>
      <c r="N22" s="1398"/>
      <c r="O22" s="1400" t="s">
        <v>480</v>
      </c>
      <c r="P22" s="1398"/>
      <c r="Q22" s="1407"/>
      <c r="R22" s="1407"/>
      <c r="S22" s="738"/>
      <c r="T22" s="1174" t="s">
        <v>481</v>
      </c>
      <c r="AA22" s="172" t="s">
        <v>482</v>
      </c>
      <c r="AC22" s="172" t="s">
        <v>483</v>
      </c>
      <c r="AD22" s="1174" t="s">
        <v>481</v>
      </c>
      <c r="AI22" s="172" t="s">
        <v>484</v>
      </c>
      <c r="AK22" s="172" t="s">
        <v>483</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"Уссурийск-Водоканал"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8" customFormat="1" customHeight="1" ht="25.5" hidden="1">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8" customFormat="1" customHeight="1" ht="18.75" hidden="1">
      <c r="A30" s="1404"/>
      <c r="B30" s="1404"/>
      <c r="C30" s="1404"/>
      <c r="D30" s="1404"/>
      <c r="E30" s="1404"/>
      <c r="F30" s="1404"/>
      <c r="G30" s="1404"/>
      <c r="H30" s="1404"/>
      <c r="I30" s="1404"/>
      <c r="J30" s="1404"/>
      <c r="K30" s="1404"/>
      <c r="L30" s="1405"/>
      <c r="M30" s="1404"/>
      <c r="N30" s="1404"/>
      <c r="O30" s="1404"/>
      <c r="S30" s="2183" t="s">
        <v>485</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8" customFormat="1" customHeight="1" ht="18.75" hidden="1">
      <c r="A31" s="1404"/>
      <c r="B31" s="1404"/>
      <c r="C31" s="1404"/>
      <c r="D31" s="1404"/>
      <c r="E31" s="1404"/>
      <c r="F31" s="1404"/>
      <c r="G31" s="1404"/>
      <c r="H31" s="1404"/>
      <c r="I31" s="1404"/>
      <c r="J31" s="1404"/>
      <c r="K31" s="1404"/>
      <c r="L31" s="1405"/>
      <c r="M31" s="1404"/>
      <c r="N31" s="1404"/>
      <c r="O31" s="1404"/>
      <c r="S31" s="2183" t="s">
        <v>486</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8" customFormat="1" customHeight="1" ht="18.75" hidden="1">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8" customFormat="1" customHeight="1" ht="18.75" hidden="1">
      <c r="A34" s="1404"/>
      <c r="B34" s="1404"/>
      <c r="C34" s="1404"/>
      <c r="D34" s="1404"/>
      <c r="E34" s="1404"/>
      <c r="F34" s="1404"/>
      <c r="G34" s="1404"/>
      <c r="H34" s="1404"/>
      <c r="I34" s="1404"/>
      <c r="J34" s="1404"/>
      <c r="K34" s="1404"/>
      <c r="L34" s="1405"/>
      <c r="M34" s="1404"/>
      <c r="N34" s="1404"/>
      <c r="O34" s="1404"/>
      <c r="S34" s="2183" t="s">
        <v>487</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8" customFormat="1" customHeight="1" ht="18.75" hidden="1">
      <c r="A35" s="1404"/>
      <c r="B35" s="1404"/>
      <c r="C35" s="1404"/>
      <c r="D35" s="1404"/>
      <c r="E35" s="1404"/>
      <c r="F35" s="1404"/>
      <c r="G35" s="1404"/>
      <c r="H35" s="1404"/>
      <c r="I35" s="1404"/>
      <c r="J35" s="1404"/>
      <c r="K35" s="1404"/>
      <c r="L35" s="1405"/>
      <c r="M35" s="1404"/>
      <c r="N35" s="1404"/>
      <c r="O35" s="1404"/>
      <c r="S35" s="2183" t="s">
        <v>488</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8"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489</v>
      </c>
      <c r="AD36" s="322"/>
      <c r="AE36" s="322"/>
      <c r="AF36" s="322"/>
      <c r="AG36" s="322"/>
      <c r="AH36" s="322"/>
      <c r="AI36" s="322"/>
      <c r="AJ36" s="322"/>
      <c r="AK36" s="266" t="s">
        <v>489</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88</v>
      </c>
      <c r="T39" s="2047" t="s">
        <v>490</v>
      </c>
      <c r="U39" s="289"/>
      <c r="V39" s="2207" t="s">
        <v>491</v>
      </c>
      <c r="W39" s="2208"/>
      <c r="X39" s="2208"/>
      <c r="Y39" s="2208"/>
      <c r="Z39" s="2208"/>
      <c r="AA39" s="2208"/>
      <c r="AB39" s="2209"/>
      <c r="AC39" s="2210" t="s">
        <v>492</v>
      </c>
      <c r="AD39" s="2207" t="s">
        <v>491</v>
      </c>
      <c r="AE39" s="2208"/>
      <c r="AF39" s="2208"/>
      <c r="AG39" s="2208"/>
      <c r="AH39" s="2208"/>
      <c r="AI39" s="2208"/>
      <c r="AJ39" s="2209"/>
      <c r="AK39" s="2210" t="s">
        <v>493</v>
      </c>
      <c r="AL39" s="2213" t="s">
        <v>494</v>
      </c>
      <c r="AM39" s="1966"/>
    </row>
    <row customHeight="1" ht="33.75">
      <c r="Q40" s="377"/>
      <c r="R40" s="377"/>
      <c r="S40" s="2206"/>
      <c r="T40" s="2047"/>
      <c r="U40" s="1044"/>
      <c r="V40" s="2193" t="s">
        <v>495</v>
      </c>
      <c r="W40" s="2216" t="s">
        <v>496</v>
      </c>
      <c r="X40" s="2195" t="s">
        <v>497</v>
      </c>
      <c r="Y40" s="2196"/>
      <c r="Z40" s="2195" t="s">
        <v>516</v>
      </c>
      <c r="AA40" s="2202"/>
      <c r="AB40" s="2196"/>
      <c r="AC40" s="2211"/>
      <c r="AD40" s="2193" t="s">
        <v>495</v>
      </c>
      <c r="AE40" s="2216" t="s">
        <v>496</v>
      </c>
      <c r="AF40" s="2195" t="s">
        <v>497</v>
      </c>
      <c r="AG40" s="2196"/>
      <c r="AH40" s="2195" t="s">
        <v>498</v>
      </c>
      <c r="AI40" s="2202"/>
      <c r="AJ40" s="2196"/>
      <c r="AK40" s="2211"/>
      <c r="AL40" s="2214"/>
      <c r="AM40" s="1966"/>
    </row>
    <row customHeight="1" ht="33.75">
      <c r="A41" s="1406"/>
      <c r="B41" s="1406" t="s">
        <v>142</v>
      </c>
      <c r="C41" s="1406" t="s">
        <v>143</v>
      </c>
      <c r="D41" s="1406" t="s">
        <v>144</v>
      </c>
      <c r="E41" s="1400" t="s">
        <v>499</v>
      </c>
      <c r="F41" s="1400" t="s">
        <v>500</v>
      </c>
      <c r="G41" s="1400" t="s">
        <v>501</v>
      </c>
      <c r="H41" s="1400" t="s">
        <v>502</v>
      </c>
      <c r="I41" s="1400" t="s">
        <v>503</v>
      </c>
      <c r="J41" s="1400" t="s">
        <v>504</v>
      </c>
      <c r="K41" s="1400" t="s">
        <v>505</v>
      </c>
      <c r="L41" s="1400" t="s">
        <v>480</v>
      </c>
      <c r="Q41" s="377"/>
      <c r="R41" s="377"/>
      <c r="S41" s="2206"/>
      <c r="T41" s="2047"/>
      <c r="U41" s="290"/>
      <c r="V41" s="2194"/>
      <c r="W41" s="2217"/>
      <c r="X41" s="1243" t="s">
        <v>506</v>
      </c>
      <c r="Y41" s="1243" t="s">
        <v>507</v>
      </c>
      <c r="Z41" s="1374" t="s">
        <v>508</v>
      </c>
      <c r="AA41" s="2203" t="s">
        <v>509</v>
      </c>
      <c r="AB41" s="2204"/>
      <c r="AC41" s="2212"/>
      <c r="AD41" s="2194"/>
      <c r="AE41" s="2217"/>
      <c r="AF41" s="1243" t="s">
        <v>506</v>
      </c>
      <c r="AG41" s="1243" t="s">
        <v>507</v>
      </c>
      <c r="AH41" s="1374" t="s">
        <v>508</v>
      </c>
      <c r="AI41" s="2203" t="s">
        <v>509</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169</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130</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169</v>
      </c>
      <c r="B44" s="1399" t="s">
        <v>170</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462</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463</v>
      </c>
      <c r="AO44" s="508"/>
      <c r="AP44" s="508" t="str">
        <f>IF(T44="","",T44)</f>
        <v>Территория действия тарифа</v>
      </c>
      <c r="AQ44" s="508"/>
      <c r="AR44" s="508"/>
    </row>
    <row customHeight="1" ht="23.25">
      <c r="A45" s="1399" t="s">
        <v>169</v>
      </c>
      <c r="B45" s="1399" t="s">
        <v>170</v>
      </c>
      <c r="C45" s="1399" t="s">
        <v>171</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464</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465</v>
      </c>
      <c r="AO45" s="508"/>
      <c r="AP45" s="508" t="str">
        <f>IF(T45="","",T45)</f>
        <v>Наименование системы теплоснабжения </v>
      </c>
      <c r="AQ45" s="508"/>
      <c r="AR45" s="508"/>
    </row>
    <row customHeight="1" ht="21">
      <c r="A46" s="1399" t="s">
        <v>169</v>
      </c>
      <c r="B46" s="1399" t="s">
        <v>170</v>
      </c>
      <c r="C46" s="1399" t="s">
        <v>171</v>
      </c>
      <c r="D46" s="1399" t="s">
        <v>172</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466</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467</v>
      </c>
      <c r="AO46" s="508"/>
      <c r="AP46" s="508" t="str">
        <f>IF(T46="","",T46)</f>
        <v>Источник тепловой энергии  </v>
      </c>
      <c r="AQ46" s="508"/>
      <c r="AR46" s="508"/>
    </row>
    <row customHeight="1" ht="47.25">
      <c r="A47" s="1399" t="s">
        <v>169</v>
      </c>
      <c r="B47" s="1399" t="s">
        <v>170</v>
      </c>
      <c r="C47" s="1399" t="s">
        <v>171</v>
      </c>
      <c r="D47" s="1399" t="s">
        <v>172</v>
      </c>
      <c r="E47" s="2192"/>
      <c r="F47" s="2192"/>
      <c r="G47" s="2192"/>
      <c r="H47" s="2192"/>
      <c r="I47" s="2189" t="str">
        <f>S46&amp;".1"</f>
        <v>....1</v>
      </c>
      <c r="J47" s="1399"/>
      <c r="K47" s="1399"/>
      <c r="L47" s="1400" t="s">
        <v>468</v>
      </c>
      <c r="P47" s="2190">
        <v>1</v>
      </c>
      <c r="Q47" s="1367"/>
      <c r="R47" s="352"/>
      <c r="S47" s="1372" t="str">
        <f>$I47</f>
        <v>....1</v>
      </c>
      <c r="T47" s="273" t="s">
        <v>469</v>
      </c>
      <c r="U47" s="288"/>
      <c r="V47" s="2178"/>
      <c r="W47" s="2179"/>
      <c r="X47" s="2179"/>
      <c r="Y47" s="2179"/>
      <c r="Z47" s="2179"/>
      <c r="AA47" s="2179"/>
      <c r="AB47" s="2179"/>
      <c r="AC47" s="2180"/>
      <c r="AD47" s="2178"/>
      <c r="AE47" s="2179"/>
      <c r="AF47" s="2179"/>
      <c r="AG47" s="2179"/>
      <c r="AH47" s="2179"/>
      <c r="AI47" s="2179"/>
      <c r="AJ47" s="2179"/>
      <c r="AK47" s="2179"/>
      <c r="AL47" s="2180"/>
      <c r="AM47" s="1292" t="s">
        <v>470</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169</v>
      </c>
      <c r="B48" s="1399" t="s">
        <v>170</v>
      </c>
      <c r="C48" s="1399" t="s">
        <v>171</v>
      </c>
      <c r="D48" s="1399" t="s">
        <v>172</v>
      </c>
      <c r="E48" s="2192"/>
      <c r="F48" s="2192"/>
      <c r="G48" s="2192"/>
      <c r="H48" s="2192"/>
      <c r="I48" s="2219"/>
      <c r="J48" s="2189" t="str">
        <f>I47&amp;".1"</f>
        <v>....1.1</v>
      </c>
      <c r="K48" s="1399"/>
      <c r="L48" s="1400" t="s">
        <v>471</v>
      </c>
      <c r="P48" s="2190"/>
      <c r="Q48" s="2190">
        <v>1</v>
      </c>
      <c r="R48" s="353"/>
      <c r="S48" s="1372" t="str">
        <f>$J48</f>
        <v>....1.1</v>
      </c>
      <c r="T48" s="274" t="s">
        <v>472</v>
      </c>
      <c r="U48" s="288"/>
      <c r="V48" s="2178"/>
      <c r="W48" s="2179"/>
      <c r="X48" s="2179"/>
      <c r="Y48" s="2179"/>
      <c r="Z48" s="2179"/>
      <c r="AA48" s="2179"/>
      <c r="AB48" s="2179"/>
      <c r="AC48" s="2180"/>
      <c r="AD48" s="2178"/>
      <c r="AE48" s="2179"/>
      <c r="AF48" s="2179"/>
      <c r="AG48" s="2179"/>
      <c r="AH48" s="2179"/>
      <c r="AI48" s="2179"/>
      <c r="AJ48" s="2179"/>
      <c r="AK48" s="2179"/>
      <c r="AL48" s="2180"/>
      <c r="AM48" s="1292" t="s">
        <v>473</v>
      </c>
      <c r="AO48" s="508"/>
      <c r="AP48" s="508" t="str">
        <f>IF(T48="","",T48)</f>
        <v>Группа потребителей</v>
      </c>
      <c r="AQ48" s="508"/>
      <c r="AR48" s="508"/>
    </row>
    <row customHeight="1" ht="21">
      <c r="A49" s="1399" t="s">
        <v>169</v>
      </c>
      <c r="B49" s="1399" t="s">
        <v>170</v>
      </c>
      <c r="C49" s="1399" t="s">
        <v>171</v>
      </c>
      <c r="D49" s="1399" t="s">
        <v>172</v>
      </c>
      <c r="E49" s="2192"/>
      <c r="F49" s="2192"/>
      <c r="G49" s="2192"/>
      <c r="H49" s="2192"/>
      <c r="I49" s="2219"/>
      <c r="J49" s="2219"/>
      <c r="K49" s="2189" t="str">
        <f>J48&amp;".1"</f>
        <v>....1.1.1</v>
      </c>
      <c r="L49" s="1400" t="s">
        <v>474</v>
      </c>
      <c r="P49" s="2190"/>
      <c r="Q49" s="2190"/>
      <c r="R49" s="353">
        <v>1</v>
      </c>
      <c r="S49" s="1372" t="str">
        <f>$K49</f>
        <v>....1.1.1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475</v>
      </c>
      <c r="AN49" s="519">
        <f>STRCHECKDATE(V50:AL50)</f>
      </c>
      <c r="AO49" s="508"/>
      <c r="AP49" s="508" t="str">
        <f>IF(T49="","",T49)</f>
        <v/>
      </c>
      <c r="AQ49" s="508"/>
      <c r="AR49" s="508"/>
    </row>
    <row customHeight="1" ht="0.75">
      <c r="A50" s="1399" t="s">
        <v>169</v>
      </c>
      <c r="B50" s="1399" t="s">
        <v>170</v>
      </c>
      <c r="C50" s="1399" t="s">
        <v>171</v>
      </c>
      <c r="D50" s="1399" t="s">
        <v>172</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169</v>
      </c>
      <c r="B51" s="1399" t="s">
        <v>170</v>
      </c>
      <c r="C51" s="1399" t="s">
        <v>171</v>
      </c>
      <c r="D51" s="1399" t="s">
        <v>172</v>
      </c>
      <c r="E51" s="2192"/>
      <c r="F51" s="2192"/>
      <c r="G51" s="2192"/>
      <c r="H51" s="2192"/>
      <c r="I51" s="2219"/>
      <c r="J51" s="2189"/>
      <c r="K51" s="1399"/>
      <c r="L51" s="1400"/>
      <c r="P51" s="2190"/>
      <c r="Q51" s="2190"/>
      <c r="R51" s="352"/>
      <c r="S51" s="1314"/>
      <c r="T51" s="276" t="s">
        <v>476</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169</v>
      </c>
      <c r="B52" s="1399" t="s">
        <v>170</v>
      </c>
      <c r="C52" s="1399" t="s">
        <v>171</v>
      </c>
      <c r="D52" s="1399" t="s">
        <v>172</v>
      </c>
      <c r="E52" s="2192"/>
      <c r="F52" s="2192"/>
      <c r="G52" s="2192"/>
      <c r="H52" s="2192"/>
      <c r="I52" s="2189"/>
      <c r="J52" s="1399"/>
      <c r="K52" s="1399"/>
      <c r="L52" s="1400"/>
      <c r="P52" s="2190"/>
      <c r="Q52" s="1367"/>
      <c r="R52" s="352"/>
      <c r="S52" s="1314"/>
      <c r="T52" s="275" t="s">
        <v>477</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169</v>
      </c>
      <c r="B53" s="1399" t="s">
        <v>170</v>
      </c>
      <c r="C53" s="1399" t="s">
        <v>171</v>
      </c>
      <c r="D53" s="1399" t="s">
        <v>172</v>
      </c>
      <c r="E53" s="2192"/>
      <c r="F53" s="2192"/>
      <c r="G53" s="2192"/>
      <c r="H53" s="2191"/>
      <c r="I53" s="1399"/>
      <c r="J53" s="1399"/>
      <c r="K53" s="1399"/>
      <c r="L53" s="1400"/>
      <c r="M53" s="1401"/>
      <c r="N53" s="1401"/>
      <c r="O53" s="545"/>
      <c r="P53" s="356"/>
      <c r="Q53" s="376"/>
      <c r="R53" s="351"/>
      <c r="S53" s="1314"/>
      <c r="T53" s="364" t="s">
        <v>478</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599" customFormat="1" customHeight="1" ht="0.75">
      <c r="A54" s="1379" t="s">
        <v>169</v>
      </c>
      <c r="B54" s="1379" t="s">
        <v>170</v>
      </c>
      <c r="C54" s="1379" t="s">
        <v>171</v>
      </c>
      <c r="D54" s="1350"/>
      <c r="E54" s="2192"/>
      <c r="F54" s="2192"/>
      <c r="G54" s="2191"/>
      <c r="H54" s="1350"/>
      <c r="I54" s="1350"/>
      <c r="J54" s="1350"/>
      <c r="K54" s="1350"/>
      <c r="L54" s="1375"/>
      <c r="M54" s="1351"/>
      <c r="N54" s="1351"/>
      <c r="P54" s="1352"/>
      <c r="Q54" s="1353"/>
      <c r="R54" s="1352"/>
      <c r="S54" s="1358"/>
      <c r="T54" s="1361" t="s">
        <v>435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9" customFormat="1" customHeight="1" ht="0.75">
      <c r="A55" s="1379" t="s">
        <v>169</v>
      </c>
      <c r="B55" s="1379" t="s">
        <v>170</v>
      </c>
      <c r="C55" s="1350"/>
      <c r="D55" s="1350"/>
      <c r="E55" s="2192"/>
      <c r="F55" s="2191"/>
      <c r="G55" s="1350"/>
      <c r="H55" s="1350"/>
      <c r="I55" s="1350"/>
      <c r="J55" s="1350"/>
      <c r="K55" s="1350"/>
      <c r="L55" s="1375"/>
      <c r="M55" s="1357"/>
      <c r="N55" s="1357"/>
      <c r="P55" s="1352"/>
      <c r="Q55" s="1353"/>
      <c r="R55" s="1352"/>
      <c r="S55" s="1358"/>
      <c r="T55" s="1361" t="s">
        <v>436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169</v>
      </c>
      <c r="B56" s="1379"/>
      <c r="C56" s="1379"/>
      <c r="D56" s="1379"/>
      <c r="E56" s="2191"/>
      <c r="F56" s="1379"/>
      <c r="G56" s="1379"/>
      <c r="H56" s="1379"/>
      <c r="I56" s="1379"/>
      <c r="J56" s="1379"/>
      <c r="K56" s="1379"/>
      <c r="L56" s="1382"/>
      <c r="M56" s="1357"/>
      <c r="N56" s="1357"/>
      <c r="O56" s="526"/>
      <c r="P56" s="385"/>
      <c r="Q56" s="1380"/>
      <c r="R56" s="385"/>
      <c r="S56" s="1358"/>
      <c r="T56" s="1361" t="s">
        <v>437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9"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510</v>
      </c>
      <c r="T59" s="2218" t="s">
        <v>517</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hidden="1">
      <c r="O60" s="545"/>
      <c r="T60" s="2218" t="s">
        <v>512</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510</v>
      </c>
      <c r="T62" s="2218" t="s">
        <v>513</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514</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515</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7583C-E012-FA5B-3F6B-67080E536A49}"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59" width="10.57421875" hidden="1"/>
    <col min="2" max="2" style="3159" width="11.00390625" hidden="1" customWidth="1"/>
    <col min="3" max="3" style="3159" width="10.57421875" hidden="1"/>
    <col min="4" max="4" style="3159" width="11.8515625" hidden="1" customWidth="1"/>
    <col min="5" max="5" style="3159" width="10.00390625" hidden="1" customWidth="1"/>
    <col min="6" max="6" style="3159" width="8.7109375" hidden="1" customWidth="1"/>
    <col min="7" max="7" style="3159" width="7.57421875" hidden="1" customWidth="1"/>
    <col min="8" max="8" style="3159" width="11.421875" hidden="1" customWidth="1"/>
    <col min="9" max="9" style="3159" width="12.00390625" hidden="1" customWidth="1"/>
    <col min="10" max="10" style="3159" width="9.8515625" hidden="1" customWidth="1"/>
    <col min="11" max="11" style="3159" width="11.421875" hidden="1" customWidth="1"/>
    <col min="12" max="12" style="3618" width="19.140625" hidden="1" customWidth="1"/>
    <col min="13" max="14" style="3619" width="12.28125" hidden="1" customWidth="1"/>
    <col min="15" max="15" style="3619" width="23.421875" hidden="1" customWidth="1"/>
    <col min="16" max="16" style="3638" width="3.7109375" customWidth="1"/>
    <col min="17" max="18" style="3694" width="3.7109375" customWidth="1"/>
    <col min="19" max="19" style="3695" width="12.7109375" customWidth="1"/>
    <col min="20" max="20" style="2876" width="32.00390625" customWidth="1"/>
    <col min="21" max="22" style="2876" width="0.140625" customWidth="1"/>
    <col min="23" max="23" style="2876" width="24.7109375" hidden="1" customWidth="1"/>
    <col min="24" max="25" style="2876" width="0.140625" hidden="1" customWidth="1"/>
    <col min="26" max="26" style="2876" width="11.7109375" hidden="1" customWidth="1"/>
    <col min="27" max="27" style="2876" width="3.7109375" hidden="1" customWidth="1"/>
    <col min="28" max="28" style="2876" width="11.7109375" hidden="1" customWidth="1"/>
    <col min="29" max="29" style="2876" width="8.57421875" hidden="1" customWidth="1"/>
    <col min="30" max="30" style="2876" width="0.140625" customWidth="1"/>
    <col min="31" max="31" style="2876" width="24.7109375" customWidth="1"/>
    <col min="32" max="33" style="2876" width="0.140625" customWidth="1"/>
    <col min="34" max="34" style="2876" width="11.7109375" customWidth="1"/>
    <col min="35" max="35" style="2876" width="3.7109375" customWidth="1"/>
    <col min="36" max="36" style="2876" width="11.7109375" customWidth="1"/>
    <col min="37" max="37" style="2876" width="8.57421875" hidden="1" customWidth="1"/>
    <col min="38" max="38" style="2876" width="4.7109375" customWidth="1"/>
    <col min="39" max="39" style="2876"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130</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461</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462</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463</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464</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465</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466</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467</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468</v>
      </c>
      <c r="M6" s="545"/>
      <c r="P6" s="2190">
        <v>1</v>
      </c>
      <c r="Q6" s="1367"/>
      <c r="R6" s="352"/>
      <c r="S6" s="1372">
        <f>$I6</f>
      </c>
      <c r="T6" s="273" t="s">
        <v>469</v>
      </c>
      <c r="U6" s="288"/>
      <c r="V6" s="2178"/>
      <c r="W6" s="2179"/>
      <c r="X6" s="2179"/>
      <c r="Y6" s="2179"/>
      <c r="Z6" s="2179"/>
      <c r="AA6" s="2179"/>
      <c r="AB6" s="2179"/>
      <c r="AC6" s="2180"/>
      <c r="AD6" s="2178"/>
      <c r="AE6" s="2179"/>
      <c r="AF6" s="2179"/>
      <c r="AG6" s="2179"/>
      <c r="AH6" s="2179"/>
      <c r="AI6" s="2179"/>
      <c r="AJ6" s="2179"/>
      <c r="AK6" s="2179"/>
      <c r="AL6" s="2180"/>
      <c r="AM6" s="1292" t="s">
        <v>470</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471</v>
      </c>
      <c r="M7" s="545"/>
      <c r="N7" s="1402"/>
      <c r="P7" s="2190"/>
      <c r="Q7" s="2190">
        <v>1</v>
      </c>
      <c r="R7" s="353"/>
      <c r="S7" s="1372">
        <f>$J7</f>
      </c>
      <c r="T7" s="274" t="s">
        <v>472</v>
      </c>
      <c r="U7" s="288"/>
      <c r="V7" s="2178"/>
      <c r="W7" s="2179"/>
      <c r="X7" s="2179"/>
      <c r="Y7" s="2179"/>
      <c r="Z7" s="2179"/>
      <c r="AA7" s="2179"/>
      <c r="AB7" s="2179"/>
      <c r="AC7" s="2180"/>
      <c r="AD7" s="2178"/>
      <c r="AE7" s="2179"/>
      <c r="AF7" s="2179"/>
      <c r="AG7" s="2179"/>
      <c r="AH7" s="2179"/>
      <c r="AI7" s="2179"/>
      <c r="AJ7" s="2179"/>
      <c r="AK7" s="2179"/>
      <c r="AL7" s="2180"/>
      <c r="AM7" s="1292" t="s">
        <v>473</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474</v>
      </c>
      <c r="M8" s="545"/>
      <c r="N8" s="1402"/>
      <c r="O8" s="1402"/>
      <c r="P8" s="2190"/>
      <c r="Q8" s="2190"/>
      <c r="R8" s="353">
        <v>1</v>
      </c>
      <c r="S8" s="1372">
        <f>$K8</f>
      </c>
      <c r="T8" s="1383"/>
      <c r="U8" s="288"/>
      <c r="V8" s="320"/>
      <c r="W8" s="760"/>
      <c r="X8" s="320"/>
      <c r="Y8" s="390"/>
      <c r="Z8" s="2198"/>
      <c r="AA8" s="1946" t="s">
        <v>58</v>
      </c>
      <c r="AB8" s="2198"/>
      <c r="AC8" s="1946" t="s">
        <v>58</v>
      </c>
      <c r="AD8" s="320"/>
      <c r="AE8" s="760"/>
      <c r="AF8" s="320"/>
      <c r="AG8" s="390"/>
      <c r="AH8" s="2198"/>
      <c r="AI8" s="1946" t="s">
        <v>58</v>
      </c>
      <c r="AJ8" s="2198"/>
      <c r="AK8" s="1946" t="s">
        <v>58</v>
      </c>
      <c r="AL8" s="320"/>
      <c r="AM8" s="2186" t="s">
        <v>475</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476</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477</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478</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599"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9"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9"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59" customFormat="1" customHeight="1" ht="22.5" hidden="1">
      <c r="L20" s="1365"/>
      <c r="M20" s="1398"/>
      <c r="N20" s="1398"/>
      <c r="O20" s="1403" t="s">
        <v>479</v>
      </c>
      <c r="P20" s="1398"/>
      <c r="Q20" s="1407"/>
      <c r="R20" s="1407"/>
      <c r="S20" s="738"/>
      <c r="Z20" s="1403"/>
      <c r="AB20" s="1403"/>
      <c r="AC20" s="1402"/>
      <c r="AH20" s="1403"/>
      <c r="AJ20" s="1403"/>
      <c r="AK20" s="1402"/>
      <c r="AN20" s="519"/>
      <c r="AO20" s="519"/>
      <c r="AP20" s="519"/>
      <c r="AQ20" s="519"/>
      <c r="AR20" s="519"/>
    </row>
    <row s="3159" customFormat="1" customHeight="1" ht="14.25" hidden="1">
      <c r="L21" s="1365"/>
      <c r="M21" s="1398"/>
      <c r="N21" s="1398"/>
      <c r="O21" s="1398"/>
      <c r="P21" s="1398"/>
      <c r="Q21" s="1407"/>
      <c r="R21" s="1407"/>
      <c r="S21" s="738"/>
      <c r="AC21" s="1402"/>
      <c r="AK21" s="1402"/>
      <c r="AN21" s="519"/>
      <c r="AO21" s="519"/>
      <c r="AP21" s="519"/>
      <c r="AQ21" s="519"/>
      <c r="AR21" s="519"/>
    </row>
    <row s="3159" customFormat="1" customHeight="1" ht="33.75" hidden="1">
      <c r="L22" s="1365"/>
      <c r="M22" s="1398"/>
      <c r="N22" s="1398"/>
      <c r="O22" s="1400" t="s">
        <v>480</v>
      </c>
      <c r="P22" s="1398"/>
      <c r="Q22" s="1407"/>
      <c r="R22" s="1407"/>
      <c r="S22" s="738"/>
      <c r="T22" s="1174" t="s">
        <v>481</v>
      </c>
      <c r="AA22" s="172" t="s">
        <v>482</v>
      </c>
      <c r="AC22" s="172" t="s">
        <v>483</v>
      </c>
      <c r="AD22" s="1174" t="s">
        <v>481</v>
      </c>
      <c r="AI22" s="172" t="s">
        <v>484</v>
      </c>
      <c r="AK22" s="172" t="s">
        <v>483</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"Уссурийск-Водоканал"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8" customFormat="1" customHeight="1" ht="25.5" hidden="1">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8" customFormat="1" customHeight="1" ht="18.75" hidden="1">
      <c r="A30" s="1404"/>
      <c r="B30" s="1404"/>
      <c r="C30" s="1404"/>
      <c r="D30" s="1404"/>
      <c r="E30" s="1404"/>
      <c r="F30" s="1404"/>
      <c r="G30" s="1404"/>
      <c r="H30" s="1404"/>
      <c r="I30" s="1404"/>
      <c r="J30" s="1404"/>
      <c r="K30" s="1404"/>
      <c r="L30" s="1405"/>
      <c r="M30" s="1404"/>
      <c r="N30" s="1404"/>
      <c r="O30" s="1404"/>
      <c r="S30" s="2183" t="s">
        <v>485</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8" customFormat="1" customHeight="1" ht="18.75" hidden="1">
      <c r="A31" s="1404"/>
      <c r="B31" s="1404"/>
      <c r="C31" s="1404"/>
      <c r="D31" s="1404"/>
      <c r="E31" s="1404"/>
      <c r="F31" s="1404"/>
      <c r="G31" s="1404"/>
      <c r="H31" s="1404"/>
      <c r="I31" s="1404"/>
      <c r="J31" s="1404"/>
      <c r="K31" s="1404"/>
      <c r="L31" s="1405"/>
      <c r="M31" s="1404"/>
      <c r="N31" s="1404"/>
      <c r="O31" s="1404"/>
      <c r="S31" s="2183" t="s">
        <v>486</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8" customFormat="1" customHeight="1" ht="18.75" hidden="1">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8" customFormat="1" customHeight="1" ht="18.75" hidden="1">
      <c r="A34" s="1404"/>
      <c r="B34" s="1404"/>
      <c r="C34" s="1404"/>
      <c r="D34" s="1404"/>
      <c r="E34" s="1404"/>
      <c r="F34" s="1404"/>
      <c r="G34" s="1404"/>
      <c r="H34" s="1404"/>
      <c r="I34" s="1404"/>
      <c r="J34" s="1404"/>
      <c r="K34" s="1404"/>
      <c r="L34" s="1405"/>
      <c r="M34" s="1404"/>
      <c r="N34" s="1404"/>
      <c r="O34" s="1404"/>
      <c r="S34" s="2183" t="s">
        <v>487</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8" customFormat="1" customHeight="1" ht="18.75" hidden="1">
      <c r="A35" s="1404"/>
      <c r="B35" s="1404"/>
      <c r="C35" s="1404"/>
      <c r="D35" s="1404"/>
      <c r="E35" s="1404"/>
      <c r="F35" s="1404"/>
      <c r="G35" s="1404"/>
      <c r="H35" s="1404"/>
      <c r="I35" s="1404"/>
      <c r="J35" s="1404"/>
      <c r="K35" s="1404"/>
      <c r="L35" s="1405"/>
      <c r="M35" s="1404"/>
      <c r="N35" s="1404"/>
      <c r="O35" s="1404"/>
      <c r="S35" s="2183" t="s">
        <v>488</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8"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489</v>
      </c>
      <c r="AD36" s="322"/>
      <c r="AE36" s="322"/>
      <c r="AF36" s="322"/>
      <c r="AG36" s="322"/>
      <c r="AH36" s="322"/>
      <c r="AI36" s="322"/>
      <c r="AJ36" s="322"/>
      <c r="AK36" s="266" t="s">
        <v>489</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88</v>
      </c>
      <c r="T39" s="2047" t="s">
        <v>490</v>
      </c>
      <c r="U39" s="289"/>
      <c r="V39" s="2207" t="s">
        <v>491</v>
      </c>
      <c r="W39" s="2208"/>
      <c r="X39" s="2222"/>
      <c r="Y39" s="2222"/>
      <c r="Z39" s="2208"/>
      <c r="AA39" s="2208"/>
      <c r="AB39" s="2209"/>
      <c r="AC39" s="2210" t="s">
        <v>492</v>
      </c>
      <c r="AD39" s="2207" t="s">
        <v>491</v>
      </c>
      <c r="AE39" s="2208"/>
      <c r="AF39" s="2222"/>
      <c r="AG39" s="2222"/>
      <c r="AH39" s="2208"/>
      <c r="AI39" s="2208"/>
      <c r="AJ39" s="2209"/>
      <c r="AK39" s="2210" t="s">
        <v>493</v>
      </c>
      <c r="AL39" s="2213" t="s">
        <v>494</v>
      </c>
      <c r="AM39" s="1966"/>
    </row>
    <row customHeight="1" ht="23.25">
      <c r="Q40" s="377"/>
      <c r="R40" s="377"/>
      <c r="S40" s="2206"/>
      <c r="T40" s="2047"/>
      <c r="U40" s="1044"/>
      <c r="V40" s="2223" t="s">
        <v>495</v>
      </c>
      <c r="W40" s="2225" t="s">
        <v>496</v>
      </c>
      <c r="X40" s="1412" t="s">
        <v>497</v>
      </c>
      <c r="Y40" s="1412"/>
      <c r="Z40" s="2202" t="s">
        <v>498</v>
      </c>
      <c r="AA40" s="2202"/>
      <c r="AB40" s="2196"/>
      <c r="AC40" s="2211"/>
      <c r="AD40" s="2223" t="s">
        <v>495</v>
      </c>
      <c r="AE40" s="2225" t="s">
        <v>496</v>
      </c>
      <c r="AF40" s="1412" t="s">
        <v>497</v>
      </c>
      <c r="AG40" s="1412"/>
      <c r="AH40" s="2202" t="s">
        <v>498</v>
      </c>
      <c r="AI40" s="2202"/>
      <c r="AJ40" s="2196"/>
      <c r="AK40" s="2211"/>
      <c r="AL40" s="2214"/>
      <c r="AM40" s="1966"/>
    </row>
    <row s="3541" customFormat="1" customHeight="1" ht="23.25">
      <c r="A41" s="1406"/>
      <c r="B41" s="1406" t="s">
        <v>142</v>
      </c>
      <c r="C41" s="1406" t="s">
        <v>143</v>
      </c>
      <c r="D41" s="1406" t="s">
        <v>144</v>
      </c>
      <c r="E41" s="1400" t="s">
        <v>499</v>
      </c>
      <c r="F41" s="1400" t="s">
        <v>500</v>
      </c>
      <c r="G41" s="1400" t="s">
        <v>501</v>
      </c>
      <c r="H41" s="1400" t="s">
        <v>502</v>
      </c>
      <c r="I41" s="1400" t="s">
        <v>503</v>
      </c>
      <c r="J41" s="1400" t="s">
        <v>504</v>
      </c>
      <c r="K41" s="1400" t="s">
        <v>505</v>
      </c>
      <c r="L41" s="1400" t="s">
        <v>480</v>
      </c>
      <c r="M41" s="1398"/>
      <c r="N41" s="1398"/>
      <c r="O41" s="1398"/>
      <c r="P41" s="1364"/>
      <c r="Q41" s="377"/>
      <c r="R41" s="377"/>
      <c r="S41" s="2206"/>
      <c r="T41" s="2047"/>
      <c r="U41" s="290"/>
      <c r="V41" s="2224"/>
      <c r="W41" s="2226"/>
      <c r="X41" s="1409" t="s">
        <v>506</v>
      </c>
      <c r="Y41" s="1409" t="s">
        <v>507</v>
      </c>
      <c r="Z41" s="1370" t="s">
        <v>508</v>
      </c>
      <c r="AA41" s="2203" t="s">
        <v>509</v>
      </c>
      <c r="AB41" s="2204"/>
      <c r="AC41" s="2212"/>
      <c r="AD41" s="2224"/>
      <c r="AE41" s="2226"/>
      <c r="AF41" s="1409" t="s">
        <v>506</v>
      </c>
      <c r="AG41" s="1409" t="s">
        <v>507</v>
      </c>
      <c r="AH41" s="1370" t="s">
        <v>508</v>
      </c>
      <c r="AI41" s="2203" t="s">
        <v>509</v>
      </c>
      <c r="AJ41" s="2204"/>
      <c r="AK41" s="2212"/>
      <c r="AL41" s="2215"/>
      <c r="AM41" s="1966"/>
      <c r="AN41" s="519"/>
      <c r="AO41" s="508"/>
      <c r="AP41" s="508"/>
      <c r="AQ41" s="508"/>
      <c r="AR41" s="508"/>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199</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130</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199</v>
      </c>
      <c r="B44" s="1399" t="s">
        <v>200</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462</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463</v>
      </c>
      <c r="AO44" s="508"/>
      <c r="AP44" s="508" t="str">
        <f>IF(T44="","",T44)</f>
        <v>Территория действия тарифа</v>
      </c>
      <c r="AQ44" s="508"/>
      <c r="AR44" s="508"/>
    </row>
    <row customHeight="1" ht="23.25">
      <c r="A45" s="1399" t="s">
        <v>199</v>
      </c>
      <c r="B45" s="1399" t="s">
        <v>200</v>
      </c>
      <c r="C45" s="1399" t="s">
        <v>201</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464</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465</v>
      </c>
      <c r="AO45" s="508"/>
      <c r="AP45" s="508" t="str">
        <f>IF(T45="","",T45)</f>
        <v>Наименование системы теплоснабжения </v>
      </c>
      <c r="AQ45" s="508"/>
      <c r="AR45" s="508"/>
    </row>
    <row customHeight="1" ht="21">
      <c r="A46" s="1399" t="s">
        <v>199</v>
      </c>
      <c r="B46" s="1399" t="s">
        <v>200</v>
      </c>
      <c r="C46" s="1399" t="s">
        <v>201</v>
      </c>
      <c r="D46" s="1399" t="s">
        <v>202</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466</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467</v>
      </c>
      <c r="AO46" s="508"/>
      <c r="AP46" s="508" t="str">
        <f>IF(T46="","",T46)</f>
        <v>Источник тепловой энергии  </v>
      </c>
      <c r="AQ46" s="508"/>
      <c r="AR46" s="508"/>
    </row>
    <row customHeight="1" ht="47.25">
      <c r="A47" s="1399" t="s">
        <v>199</v>
      </c>
      <c r="B47" s="1399" t="s">
        <v>200</v>
      </c>
      <c r="C47" s="1399" t="s">
        <v>201</v>
      </c>
      <c r="D47" s="1399" t="s">
        <v>202</v>
      </c>
      <c r="E47" s="2192"/>
      <c r="F47" s="2192"/>
      <c r="G47" s="2192"/>
      <c r="H47" s="2192"/>
      <c r="I47" s="2189" t="str">
        <f>S46&amp;".1"</f>
        <v>....1</v>
      </c>
      <c r="J47" s="1399"/>
      <c r="K47" s="1399"/>
      <c r="L47" s="1400" t="s">
        <v>468</v>
      </c>
      <c r="P47" s="2190">
        <v>1</v>
      </c>
      <c r="Q47" s="1367"/>
      <c r="R47" s="352"/>
      <c r="S47" s="1372" t="str">
        <f>$I47</f>
        <v>....1</v>
      </c>
      <c r="T47" s="273" t="s">
        <v>469</v>
      </c>
      <c r="U47" s="288"/>
      <c r="V47" s="2178"/>
      <c r="W47" s="2179"/>
      <c r="X47" s="2179"/>
      <c r="Y47" s="2179"/>
      <c r="Z47" s="2179"/>
      <c r="AA47" s="2179"/>
      <c r="AB47" s="2179"/>
      <c r="AC47" s="2180"/>
      <c r="AD47" s="2178"/>
      <c r="AE47" s="2179"/>
      <c r="AF47" s="2179"/>
      <c r="AG47" s="2179"/>
      <c r="AH47" s="2179"/>
      <c r="AI47" s="2179"/>
      <c r="AJ47" s="2179"/>
      <c r="AK47" s="2179"/>
      <c r="AL47" s="2180"/>
      <c r="AM47" s="1292" t="s">
        <v>470</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199</v>
      </c>
      <c r="B48" s="1399" t="s">
        <v>200</v>
      </c>
      <c r="C48" s="1399" t="s">
        <v>201</v>
      </c>
      <c r="D48" s="1399" t="s">
        <v>202</v>
      </c>
      <c r="E48" s="2192"/>
      <c r="F48" s="2192"/>
      <c r="G48" s="2192"/>
      <c r="H48" s="2192"/>
      <c r="I48" s="2219"/>
      <c r="J48" s="2189" t="str">
        <f>I47&amp;".1"</f>
        <v>....1.1</v>
      </c>
      <c r="K48" s="1399"/>
      <c r="L48" s="1400" t="s">
        <v>471</v>
      </c>
      <c r="P48" s="2190"/>
      <c r="Q48" s="2190">
        <v>1</v>
      </c>
      <c r="R48" s="353"/>
      <c r="S48" s="1372" t="str">
        <f>$J48</f>
        <v>....1.1</v>
      </c>
      <c r="T48" s="274" t="s">
        <v>472</v>
      </c>
      <c r="U48" s="288"/>
      <c r="V48" s="2178"/>
      <c r="W48" s="2179"/>
      <c r="X48" s="2179"/>
      <c r="Y48" s="2179"/>
      <c r="Z48" s="2179"/>
      <c r="AA48" s="2179"/>
      <c r="AB48" s="2179"/>
      <c r="AC48" s="2180"/>
      <c r="AD48" s="2178"/>
      <c r="AE48" s="2179"/>
      <c r="AF48" s="2179"/>
      <c r="AG48" s="2179"/>
      <c r="AH48" s="2179"/>
      <c r="AI48" s="2179"/>
      <c r="AJ48" s="2179"/>
      <c r="AK48" s="2179"/>
      <c r="AL48" s="2180"/>
      <c r="AM48" s="1292" t="s">
        <v>473</v>
      </c>
      <c r="AO48" s="508"/>
      <c r="AP48" s="508" t="str">
        <f>IF(T48="","",T48)</f>
        <v>Группа потребителей</v>
      </c>
      <c r="AQ48" s="508"/>
      <c r="AR48" s="508"/>
    </row>
    <row customHeight="1" ht="21">
      <c r="A49" s="1399" t="s">
        <v>199</v>
      </c>
      <c r="B49" s="1399" t="s">
        <v>200</v>
      </c>
      <c r="C49" s="1399" t="s">
        <v>201</v>
      </c>
      <c r="D49" s="1399" t="s">
        <v>202</v>
      </c>
      <c r="E49" s="2192"/>
      <c r="F49" s="2192"/>
      <c r="G49" s="2192"/>
      <c r="H49" s="2192"/>
      <c r="I49" s="2219"/>
      <c r="J49" s="2219"/>
      <c r="K49" s="2189" t="str">
        <f>J48&amp;".1"</f>
        <v>....1.1.1</v>
      </c>
      <c r="L49" s="1400" t="s">
        <v>474</v>
      </c>
      <c r="P49" s="2190"/>
      <c r="Q49" s="2190"/>
      <c r="R49" s="353">
        <v>1</v>
      </c>
      <c r="S49" s="1372" t="str">
        <f>$K49</f>
        <v>....1.1.1</v>
      </c>
      <c r="T49" s="1383"/>
      <c r="U49" s="288"/>
      <c r="V49" s="320"/>
      <c r="W49" s="760"/>
      <c r="X49" s="320"/>
      <c r="Y49" s="390"/>
      <c r="Z49" s="2198"/>
      <c r="AA49" s="1946" t="s">
        <v>58</v>
      </c>
      <c r="AB49" s="2198"/>
      <c r="AC49" s="1946" t="s">
        <v>58</v>
      </c>
      <c r="AD49" s="320"/>
      <c r="AE49" s="760"/>
      <c r="AF49" s="320"/>
      <c r="AG49" s="390"/>
      <c r="AH49" s="2198"/>
      <c r="AI49" s="1946" t="s">
        <v>58</v>
      </c>
      <c r="AJ49" s="2220"/>
      <c r="AK49" s="1946" t="s">
        <v>58</v>
      </c>
      <c r="AL49" s="1384"/>
      <c r="AM49" s="2186" t="s">
        <v>475</v>
      </c>
      <c r="AN49" s="519">
        <f>STRCHECKDATE(V50:AL50)</f>
      </c>
      <c r="AO49" s="508"/>
      <c r="AP49" s="508" t="str">
        <f>IF(T49="","",T49)</f>
        <v/>
      </c>
      <c r="AQ49" s="508"/>
      <c r="AR49" s="508"/>
    </row>
    <row customHeight="1" ht="0.75">
      <c r="A50" s="1399" t="s">
        <v>199</v>
      </c>
      <c r="B50" s="1399" t="s">
        <v>200</v>
      </c>
      <c r="C50" s="1399" t="s">
        <v>201</v>
      </c>
      <c r="D50" s="1399" t="s">
        <v>202</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199</v>
      </c>
      <c r="B51" s="1399" t="s">
        <v>200</v>
      </c>
      <c r="C51" s="1399" t="s">
        <v>201</v>
      </c>
      <c r="D51" s="1399" t="s">
        <v>202</v>
      </c>
      <c r="E51" s="2192"/>
      <c r="F51" s="2192"/>
      <c r="G51" s="2192"/>
      <c r="H51" s="2192"/>
      <c r="I51" s="2219"/>
      <c r="J51" s="2189"/>
      <c r="K51" s="1399"/>
      <c r="L51" s="1400"/>
      <c r="P51" s="2190"/>
      <c r="Q51" s="2190"/>
      <c r="R51" s="352"/>
      <c r="S51" s="1314"/>
      <c r="T51" s="276" t="s">
        <v>476</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199</v>
      </c>
      <c r="B52" s="1399" t="s">
        <v>200</v>
      </c>
      <c r="C52" s="1399" t="s">
        <v>201</v>
      </c>
      <c r="D52" s="1399" t="s">
        <v>202</v>
      </c>
      <c r="E52" s="2192"/>
      <c r="F52" s="2192"/>
      <c r="G52" s="2192"/>
      <c r="H52" s="2192"/>
      <c r="I52" s="2189"/>
      <c r="J52" s="1399"/>
      <c r="K52" s="1399"/>
      <c r="L52" s="1400"/>
      <c r="P52" s="2190"/>
      <c r="Q52" s="1367"/>
      <c r="R52" s="352"/>
      <c r="S52" s="1314"/>
      <c r="T52" s="275" t="s">
        <v>477</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199</v>
      </c>
      <c r="B53" s="1399" t="s">
        <v>200</v>
      </c>
      <c r="C53" s="1399" t="s">
        <v>201</v>
      </c>
      <c r="D53" s="1399" t="s">
        <v>202</v>
      </c>
      <c r="E53" s="2192"/>
      <c r="F53" s="2192"/>
      <c r="G53" s="2192"/>
      <c r="H53" s="2191"/>
      <c r="I53" s="1399"/>
      <c r="J53" s="1399"/>
      <c r="K53" s="1399"/>
      <c r="L53" s="1400"/>
      <c r="M53" s="1401"/>
      <c r="N53" s="1401"/>
      <c r="O53" s="545"/>
      <c r="P53" s="356"/>
      <c r="Q53" s="376"/>
      <c r="R53" s="351"/>
      <c r="S53" s="1314"/>
      <c r="T53" s="364" t="s">
        <v>478</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599" customFormat="1" customHeight="1" ht="0.75">
      <c r="A54" s="1379" t="s">
        <v>199</v>
      </c>
      <c r="B54" s="1379" t="s">
        <v>200</v>
      </c>
      <c r="C54" s="1379" t="s">
        <v>201</v>
      </c>
      <c r="D54" s="1350"/>
      <c r="E54" s="2192"/>
      <c r="F54" s="2192"/>
      <c r="G54" s="2191"/>
      <c r="H54" s="1350"/>
      <c r="I54" s="1350"/>
      <c r="J54" s="1350"/>
      <c r="K54" s="1350"/>
      <c r="L54" s="1375"/>
      <c r="M54" s="1351"/>
      <c r="N54" s="1351"/>
      <c r="P54" s="1352"/>
      <c r="Q54" s="1353"/>
      <c r="R54" s="1352"/>
      <c r="S54" s="1358"/>
      <c r="T54" s="1361" t="s">
        <v>435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9" customFormat="1" customHeight="1" ht="0.75">
      <c r="A55" s="1379" t="s">
        <v>199</v>
      </c>
      <c r="B55" s="1379" t="s">
        <v>200</v>
      </c>
      <c r="C55" s="1350"/>
      <c r="D55" s="1350"/>
      <c r="E55" s="2192"/>
      <c r="F55" s="2191"/>
      <c r="G55" s="1350"/>
      <c r="H55" s="1350"/>
      <c r="I55" s="1350"/>
      <c r="J55" s="1350"/>
      <c r="K55" s="1350"/>
      <c r="L55" s="1375"/>
      <c r="M55" s="1357"/>
      <c r="N55" s="1357"/>
      <c r="P55" s="1352"/>
      <c r="Q55" s="1353"/>
      <c r="R55" s="1352"/>
      <c r="S55" s="1358"/>
      <c r="T55" s="1361" t="s">
        <v>436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199</v>
      </c>
      <c r="B56" s="1379"/>
      <c r="C56" s="1379"/>
      <c r="D56" s="1379"/>
      <c r="E56" s="2191"/>
      <c r="F56" s="1379"/>
      <c r="G56" s="1379"/>
      <c r="H56" s="1379"/>
      <c r="I56" s="1379"/>
      <c r="J56" s="1379"/>
      <c r="K56" s="1379"/>
      <c r="L56" s="1382"/>
      <c r="M56" s="1357"/>
      <c r="N56" s="1357"/>
      <c r="O56" s="526"/>
      <c r="P56" s="385"/>
      <c r="Q56" s="1380"/>
      <c r="R56" s="385"/>
      <c r="S56" s="1358"/>
      <c r="T56" s="1361" t="s">
        <v>437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9"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510</v>
      </c>
      <c r="T59" s="2218" t="s">
        <v>517</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hidden="1">
      <c r="O60" s="545"/>
      <c r="T60" s="2218" t="s">
        <v>512</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510</v>
      </c>
      <c r="T62" s="2218" t="s">
        <v>513</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514</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515</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82C7EE-0D43-3B63-BC1E-F209270EBB9A}"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59" width="10.57421875" hidden="1"/>
    <col min="2" max="2" style="3159" width="11.00390625" hidden="1" customWidth="1"/>
    <col min="3" max="3" style="3159" width="10.57421875" hidden="1"/>
    <col min="4" max="4" style="3159" width="11.8515625" hidden="1" customWidth="1"/>
    <col min="5" max="5" style="3159" width="10.00390625" hidden="1" customWidth="1"/>
    <col min="6" max="6" style="3159" width="8.7109375" hidden="1" customWidth="1"/>
    <col min="7" max="7" style="3159" width="7.57421875" hidden="1" customWidth="1"/>
    <col min="8" max="8" style="3159" width="11.421875" hidden="1" customWidth="1"/>
    <col min="9" max="9" style="3159" width="12.00390625" hidden="1" customWidth="1"/>
    <col min="10" max="10" style="3159" width="9.8515625" hidden="1" customWidth="1"/>
    <col min="11" max="11" style="3159" width="11.421875" hidden="1" customWidth="1"/>
    <col min="12" max="12" style="3618" width="19.140625" hidden="1" customWidth="1"/>
    <col min="13" max="14" style="3619" width="12.28125" hidden="1" customWidth="1"/>
    <col min="15" max="15" style="3619" width="23.421875" hidden="1" customWidth="1"/>
    <col min="16" max="16" style="3638" width="3.7109375" hidden="1" customWidth="1"/>
    <col min="17" max="18" style="3694" width="3.7109375" customWidth="1"/>
    <col min="19" max="19" style="3695" width="12.7109375" customWidth="1"/>
    <col min="20" max="20" style="2876" width="32.00390625" customWidth="1"/>
    <col min="21" max="21" style="2876" width="0.140625" customWidth="1"/>
    <col min="22" max="22" style="2876" width="24.7109375" hidden="1" customWidth="1"/>
    <col min="23" max="23" style="2876" width="0.140625" hidden="1" customWidth="1"/>
    <col min="24" max="25" style="2876" width="24.7109375" hidden="1" customWidth="1"/>
    <col min="26" max="26" style="2876" width="11.7109375" hidden="1" customWidth="1"/>
    <col min="27" max="27" style="2876" width="3.7109375" hidden="1" customWidth="1"/>
    <col min="28" max="28" style="2876" width="11.7109375" hidden="1" customWidth="1"/>
    <col min="29" max="29" style="2876" width="8.57421875" hidden="1" customWidth="1"/>
    <col min="30" max="30" style="2876" width="24.7109375" customWidth="1"/>
    <col min="31" max="31" style="2876" width="0.140625" customWidth="1"/>
    <col min="32" max="33" style="2876" width="24.7109375" customWidth="1"/>
    <col min="34" max="34" style="2876" width="11.7109375" customWidth="1"/>
    <col min="35" max="35" style="2876" width="3.7109375" customWidth="1"/>
    <col min="36" max="36" style="2876" width="11.7109375" customWidth="1"/>
    <col min="37" max="37" style="2876" width="8.57421875" hidden="1" customWidth="1"/>
    <col min="38" max="38" style="2876" width="4.7109375" customWidth="1"/>
    <col min="39" max="39" style="2876"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130</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461</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462</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463</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464</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465</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466</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467</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468</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471</v>
      </c>
      <c r="M7" s="545"/>
      <c r="N7" s="1402"/>
      <c r="P7" s="2190"/>
      <c r="Q7" s="2190">
        <v>1</v>
      </c>
      <c r="R7" s="353"/>
      <c r="S7" s="1372">
        <f>$J7</f>
      </c>
      <c r="T7" s="274" t="s">
        <v>472</v>
      </c>
      <c r="U7" s="288"/>
      <c r="V7" s="2178"/>
      <c r="W7" s="2179"/>
      <c r="X7" s="2179"/>
      <c r="Y7" s="2179"/>
      <c r="Z7" s="2179"/>
      <c r="AA7" s="2179"/>
      <c r="AB7" s="2179"/>
      <c r="AC7" s="2180"/>
      <c r="AD7" s="2178"/>
      <c r="AE7" s="2179"/>
      <c r="AF7" s="2179"/>
      <c r="AG7" s="2179"/>
      <c r="AH7" s="2179"/>
      <c r="AI7" s="2179"/>
      <c r="AJ7" s="2179"/>
      <c r="AK7" s="2179"/>
      <c r="AL7" s="2180"/>
      <c r="AM7" s="1292" t="s">
        <v>473</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474</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475</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476</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477</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599"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9"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9"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59" customFormat="1" customHeight="1" ht="22.5" hidden="1">
      <c r="L20" s="1365"/>
      <c r="M20" s="1398"/>
      <c r="N20" s="1398"/>
      <c r="O20" s="1403" t="s">
        <v>479</v>
      </c>
      <c r="P20" s="1398"/>
      <c r="Q20" s="1407"/>
      <c r="R20" s="1407"/>
      <c r="S20" s="738"/>
      <c r="Z20" s="1403"/>
      <c r="AB20" s="1403"/>
      <c r="AC20" s="1402"/>
      <c r="AH20" s="1403"/>
      <c r="AJ20" s="1403"/>
      <c r="AK20" s="1402"/>
      <c r="AN20" s="519"/>
      <c r="AO20" s="519"/>
      <c r="AP20" s="519"/>
      <c r="AQ20" s="519"/>
      <c r="AR20" s="519"/>
    </row>
    <row s="3159" customFormat="1" customHeight="1" ht="14.25" hidden="1">
      <c r="L21" s="1365"/>
      <c r="M21" s="1398"/>
      <c r="N21" s="1398"/>
      <c r="O21" s="1398"/>
      <c r="P21" s="1398"/>
      <c r="Q21" s="1407"/>
      <c r="R21" s="1407"/>
      <c r="S21" s="738"/>
      <c r="AC21" s="1402"/>
      <c r="AK21" s="1402"/>
      <c r="AN21" s="519"/>
      <c r="AO21" s="519"/>
      <c r="AP21" s="519"/>
      <c r="AQ21" s="519"/>
      <c r="AR21" s="519"/>
    </row>
    <row s="3159" customFormat="1" customHeight="1" ht="14.25" hidden="1">
      <c r="L22" s="1365"/>
      <c r="M22" s="1398"/>
      <c r="N22" s="1398"/>
      <c r="O22" s="1400" t="s">
        <v>480</v>
      </c>
      <c r="P22" s="1398"/>
      <c r="Q22" s="1407"/>
      <c r="R22" s="1407"/>
      <c r="S22" s="738"/>
      <c r="T22" s="1174" t="s">
        <v>481</v>
      </c>
      <c r="AA22" s="172" t="s">
        <v>482</v>
      </c>
      <c r="AC22" s="172" t="s">
        <v>483</v>
      </c>
      <c r="AD22" s="1174" t="s">
        <v>481</v>
      </c>
      <c r="AI22" s="172" t="s">
        <v>484</v>
      </c>
      <c r="AK22" s="172" t="s">
        <v>483</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"Уссурийск-Водоканал"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8" customFormat="1" customHeight="1" ht="25.5" hidden="1">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8" customFormat="1" customHeight="1" ht="18.75" hidden="1">
      <c r="A30" s="1404"/>
      <c r="B30" s="1404"/>
      <c r="C30" s="1404"/>
      <c r="D30" s="1404"/>
      <c r="E30" s="1404"/>
      <c r="F30" s="1404"/>
      <c r="G30" s="1404"/>
      <c r="H30" s="1404"/>
      <c r="I30" s="1404"/>
      <c r="J30" s="1404"/>
      <c r="K30" s="1404"/>
      <c r="L30" s="1405"/>
      <c r="M30" s="1404"/>
      <c r="N30" s="1404"/>
      <c r="O30" s="1404"/>
      <c r="S30" s="2183" t="s">
        <v>485</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8" customFormat="1" customHeight="1" ht="18.75" hidden="1">
      <c r="A31" s="1404"/>
      <c r="B31" s="1404"/>
      <c r="C31" s="1404"/>
      <c r="D31" s="1404"/>
      <c r="E31" s="1404"/>
      <c r="F31" s="1404"/>
      <c r="G31" s="1404"/>
      <c r="H31" s="1404"/>
      <c r="I31" s="1404"/>
      <c r="J31" s="1404"/>
      <c r="K31" s="1404"/>
      <c r="L31" s="1405"/>
      <c r="M31" s="1404"/>
      <c r="N31" s="1404"/>
      <c r="O31" s="1404"/>
      <c r="S31" s="2183" t="s">
        <v>486</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8" customFormat="1" customHeight="1" ht="18.75" hidden="1">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8" customFormat="1" customHeight="1" ht="18.75" hidden="1">
      <c r="A34" s="1404"/>
      <c r="B34" s="1404"/>
      <c r="C34" s="1404"/>
      <c r="D34" s="1404"/>
      <c r="E34" s="1404"/>
      <c r="F34" s="1404"/>
      <c r="G34" s="1404"/>
      <c r="H34" s="1404"/>
      <c r="I34" s="1404"/>
      <c r="J34" s="1404"/>
      <c r="K34" s="1404"/>
      <c r="L34" s="1405"/>
      <c r="M34" s="1404"/>
      <c r="N34" s="1404"/>
      <c r="O34" s="1404"/>
      <c r="S34" s="2183" t="s">
        <v>487</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8" customFormat="1" customHeight="1" ht="18.75" hidden="1">
      <c r="A35" s="1404"/>
      <c r="B35" s="1404"/>
      <c r="C35" s="1404"/>
      <c r="D35" s="1404"/>
      <c r="E35" s="1404"/>
      <c r="F35" s="1404"/>
      <c r="G35" s="1404"/>
      <c r="H35" s="1404"/>
      <c r="I35" s="1404"/>
      <c r="J35" s="1404"/>
      <c r="K35" s="1404"/>
      <c r="L35" s="1405"/>
      <c r="M35" s="1404"/>
      <c r="N35" s="1404"/>
      <c r="O35" s="1404"/>
      <c r="S35" s="2183" t="s">
        <v>488</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8"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489</v>
      </c>
      <c r="AD36" s="322"/>
      <c r="AE36" s="322"/>
      <c r="AF36" s="322"/>
      <c r="AG36" s="322"/>
      <c r="AH36" s="322"/>
      <c r="AI36" s="322"/>
      <c r="AJ36" s="322"/>
      <c r="AK36" s="266" t="s">
        <v>489</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88</v>
      </c>
      <c r="T39" s="2047" t="s">
        <v>490</v>
      </c>
      <c r="U39" s="289"/>
      <c r="V39" s="2207" t="s">
        <v>491</v>
      </c>
      <c r="W39" s="2208"/>
      <c r="X39" s="2208"/>
      <c r="Y39" s="2208"/>
      <c r="Z39" s="2208"/>
      <c r="AA39" s="2208"/>
      <c r="AB39" s="2209"/>
      <c r="AC39" s="2210" t="s">
        <v>492</v>
      </c>
      <c r="AD39" s="2207" t="s">
        <v>491</v>
      </c>
      <c r="AE39" s="2208"/>
      <c r="AF39" s="2208"/>
      <c r="AG39" s="2208"/>
      <c r="AH39" s="2208"/>
      <c r="AI39" s="2208"/>
      <c r="AJ39" s="2209"/>
      <c r="AK39" s="2210" t="s">
        <v>493</v>
      </c>
      <c r="AL39" s="2213" t="s">
        <v>494</v>
      </c>
      <c r="AM39" s="1966"/>
    </row>
    <row customHeight="1" ht="33.75">
      <c r="Q40" s="377"/>
      <c r="R40" s="377"/>
      <c r="S40" s="2206"/>
      <c r="T40" s="2047"/>
      <c r="U40" s="1044"/>
      <c r="V40" s="2193" t="s">
        <v>495</v>
      </c>
      <c r="W40" s="2216"/>
      <c r="X40" s="2195" t="s">
        <v>497</v>
      </c>
      <c r="Y40" s="2196"/>
      <c r="Z40" s="2195" t="s">
        <v>498</v>
      </c>
      <c r="AA40" s="2202"/>
      <c r="AB40" s="2196"/>
      <c r="AC40" s="2211"/>
      <c r="AD40" s="2193" t="s">
        <v>495</v>
      </c>
      <c r="AE40" s="2216"/>
      <c r="AF40" s="2195" t="s">
        <v>497</v>
      </c>
      <c r="AG40" s="2196"/>
      <c r="AH40" s="2195" t="s">
        <v>498</v>
      </c>
      <c r="AI40" s="2202"/>
      <c r="AJ40" s="2196"/>
      <c r="AK40" s="2211"/>
      <c r="AL40" s="2214"/>
      <c r="AM40" s="1966"/>
    </row>
    <row customHeight="1" ht="33.75">
      <c r="A41" s="1406"/>
      <c r="B41" s="1406" t="s">
        <v>142</v>
      </c>
      <c r="C41" s="1406" t="s">
        <v>143</v>
      </c>
      <c r="D41" s="1406" t="s">
        <v>144</v>
      </c>
      <c r="E41" s="1400" t="s">
        <v>499</v>
      </c>
      <c r="F41" s="1400" t="s">
        <v>500</v>
      </c>
      <c r="G41" s="1400" t="s">
        <v>501</v>
      </c>
      <c r="H41" s="1400" t="s">
        <v>502</v>
      </c>
      <c r="I41" s="1400" t="s">
        <v>503</v>
      </c>
      <c r="J41" s="1400" t="s">
        <v>504</v>
      </c>
      <c r="K41" s="1400" t="s">
        <v>505</v>
      </c>
      <c r="L41" s="1400" t="s">
        <v>480</v>
      </c>
      <c r="Q41" s="377"/>
      <c r="R41" s="377"/>
      <c r="S41" s="2206"/>
      <c r="T41" s="2047"/>
      <c r="U41" s="290"/>
      <c r="V41" s="2194"/>
      <c r="W41" s="2217"/>
      <c r="X41" s="1243" t="s">
        <v>506</v>
      </c>
      <c r="Y41" s="1243" t="s">
        <v>507</v>
      </c>
      <c r="Z41" s="1374" t="s">
        <v>508</v>
      </c>
      <c r="AA41" s="2203" t="s">
        <v>509</v>
      </c>
      <c r="AB41" s="2204"/>
      <c r="AC41" s="2212"/>
      <c r="AD41" s="2194"/>
      <c r="AE41" s="2217"/>
      <c r="AF41" s="1243" t="s">
        <v>506</v>
      </c>
      <c r="AG41" s="1243" t="s">
        <v>507</v>
      </c>
      <c r="AH41" s="1374" t="s">
        <v>508</v>
      </c>
      <c r="AI41" s="2203" t="s">
        <v>509</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175</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130</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175</v>
      </c>
      <c r="B44" s="1399" t="s">
        <v>176</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462</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463</v>
      </c>
      <c r="AO44" s="508"/>
      <c r="AP44" s="508" t="str">
        <f>IF(T44="","",T44)</f>
        <v>Территория действия тарифа</v>
      </c>
      <c r="AQ44" s="508"/>
      <c r="AR44" s="508"/>
    </row>
    <row customHeight="1" ht="23.25">
      <c r="A45" s="1399" t="s">
        <v>175</v>
      </c>
      <c r="B45" s="1399" t="s">
        <v>176</v>
      </c>
      <c r="C45" s="1399" t="s">
        <v>177</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464</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465</v>
      </c>
      <c r="AO45" s="508"/>
      <c r="AP45" s="508" t="str">
        <f>IF(T45="","",T45)</f>
        <v>Наименование системы теплоснабжения </v>
      </c>
      <c r="AQ45" s="508"/>
      <c r="AR45" s="508"/>
    </row>
    <row customHeight="1" ht="21">
      <c r="A46" s="1399" t="s">
        <v>175</v>
      </c>
      <c r="B46" s="1399" t="s">
        <v>176</v>
      </c>
      <c r="C46" s="1399" t="s">
        <v>177</v>
      </c>
      <c r="D46" s="1399" t="s">
        <v>178</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466</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467</v>
      </c>
      <c r="AO46" s="508"/>
      <c r="AP46" s="508" t="str">
        <f>IF(T46="","",T46)</f>
        <v>Источник тепловой энергии  </v>
      </c>
      <c r="AQ46" s="508"/>
      <c r="AR46" s="508"/>
    </row>
    <row s="2587" customFormat="1" customHeight="1" ht="0">
      <c r="A47" s="1379" t="s">
        <v>175</v>
      </c>
      <c r="B47" s="1379" t="s">
        <v>176</v>
      </c>
      <c r="C47" s="1379" t="s">
        <v>177</v>
      </c>
      <c r="D47" s="1379" t="s">
        <v>178</v>
      </c>
      <c r="E47" s="2192"/>
      <c r="F47" s="2192"/>
      <c r="G47" s="2192"/>
      <c r="H47" s="2192"/>
      <c r="I47" s="2189" t="str">
        <f>S46&amp;".1"</f>
        <v>....1</v>
      </c>
      <c r="J47" s="1379"/>
      <c r="K47" s="1379"/>
      <c r="L47" s="1382" t="s">
        <v>468</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175</v>
      </c>
      <c r="B48" s="1399" t="s">
        <v>176</v>
      </c>
      <c r="C48" s="1399" t="s">
        <v>177</v>
      </c>
      <c r="D48" s="1399" t="s">
        <v>178</v>
      </c>
      <c r="E48" s="2192"/>
      <c r="F48" s="2192"/>
      <c r="G48" s="2192"/>
      <c r="H48" s="2192"/>
      <c r="I48" s="2219"/>
      <c r="J48" s="2189" t="str">
        <f>S46&amp;".1"</f>
        <v>....1</v>
      </c>
      <c r="K48" s="1399"/>
      <c r="L48" s="1400" t="s">
        <v>471</v>
      </c>
      <c r="P48" s="2190"/>
      <c r="Q48" s="2190">
        <v>1</v>
      </c>
      <c r="R48" s="353"/>
      <c r="S48" s="1372" t="str">
        <f>$J48</f>
        <v>....1</v>
      </c>
      <c r="T48" s="274" t="s">
        <v>472</v>
      </c>
      <c r="U48" s="288"/>
      <c r="V48" s="2178"/>
      <c r="W48" s="2179"/>
      <c r="X48" s="2179"/>
      <c r="Y48" s="2179"/>
      <c r="Z48" s="2179"/>
      <c r="AA48" s="2179"/>
      <c r="AB48" s="2179"/>
      <c r="AC48" s="2180"/>
      <c r="AD48" s="2178"/>
      <c r="AE48" s="2179"/>
      <c r="AF48" s="2179"/>
      <c r="AG48" s="2179"/>
      <c r="AH48" s="2179"/>
      <c r="AI48" s="2179"/>
      <c r="AJ48" s="2179"/>
      <c r="AK48" s="2179"/>
      <c r="AL48" s="2180"/>
      <c r="AM48" s="1292" t="s">
        <v>473</v>
      </c>
      <c r="AO48" s="508"/>
      <c r="AP48" s="508" t="str">
        <f>IF(T48="","",T48)</f>
        <v>Группа потребителей</v>
      </c>
      <c r="AQ48" s="508"/>
      <c r="AR48" s="508"/>
    </row>
    <row customHeight="1" ht="21">
      <c r="A49" s="1399" t="s">
        <v>175</v>
      </c>
      <c r="B49" s="1399" t="s">
        <v>176</v>
      </c>
      <c r="C49" s="1399" t="s">
        <v>177</v>
      </c>
      <c r="D49" s="1399" t="s">
        <v>178</v>
      </c>
      <c r="E49" s="2192"/>
      <c r="F49" s="2192"/>
      <c r="G49" s="2192"/>
      <c r="H49" s="2192"/>
      <c r="I49" s="2219"/>
      <c r="J49" s="2219"/>
      <c r="K49" s="2189" t="str">
        <f>J48&amp;".1"</f>
        <v>....1.1</v>
      </c>
      <c r="L49" s="1400" t="s">
        <v>474</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518</v>
      </c>
      <c r="AN49" s="519">
        <f>STRCHECKDATE(V50:AL50)</f>
      </c>
      <c r="AO49" s="508"/>
      <c r="AP49" s="508" t="str">
        <f>IF(T49="","",T49)</f>
        <v/>
      </c>
      <c r="AQ49" s="508"/>
      <c r="AR49" s="508"/>
    </row>
    <row customHeight="1" ht="0.75">
      <c r="A50" s="1399" t="s">
        <v>175</v>
      </c>
      <c r="B50" s="1399" t="s">
        <v>176</v>
      </c>
      <c r="C50" s="1399" t="s">
        <v>177</v>
      </c>
      <c r="D50" s="1399" t="s">
        <v>178</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175</v>
      </c>
      <c r="B51" s="1399" t="s">
        <v>176</v>
      </c>
      <c r="C51" s="1399" t="s">
        <v>177</v>
      </c>
      <c r="D51" s="1399" t="s">
        <v>178</v>
      </c>
      <c r="E51" s="2192"/>
      <c r="F51" s="2192"/>
      <c r="G51" s="2192"/>
      <c r="H51" s="2192"/>
      <c r="I51" s="2219"/>
      <c r="J51" s="2189"/>
      <c r="K51" s="1399"/>
      <c r="L51" s="1400"/>
      <c r="P51" s="2190"/>
      <c r="Q51" s="2190"/>
      <c r="R51" s="352"/>
      <c r="S51" s="1314"/>
      <c r="T51" s="275" t="s">
        <v>476</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175</v>
      </c>
      <c r="B52" s="1399" t="s">
        <v>176</v>
      </c>
      <c r="C52" s="1399" t="s">
        <v>177</v>
      </c>
      <c r="D52" s="1399" t="s">
        <v>178</v>
      </c>
      <c r="E52" s="2192"/>
      <c r="F52" s="2192"/>
      <c r="G52" s="2192"/>
      <c r="H52" s="2192"/>
      <c r="I52" s="2189"/>
      <c r="J52" s="1399"/>
      <c r="K52" s="1399"/>
      <c r="L52" s="1400"/>
      <c r="P52" s="2190"/>
      <c r="Q52" s="1367"/>
      <c r="R52" s="352"/>
      <c r="S52" s="1314"/>
      <c r="T52" s="364" t="s">
        <v>477</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175</v>
      </c>
      <c r="B53" s="1399" t="s">
        <v>176</v>
      </c>
      <c r="C53" s="1399" t="s">
        <v>177</v>
      </c>
      <c r="D53" s="1399" t="s">
        <v>178</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599" customFormat="1" customHeight="1" ht="0.75">
      <c r="A54" s="1379" t="s">
        <v>175</v>
      </c>
      <c r="B54" s="1379" t="s">
        <v>176</v>
      </c>
      <c r="C54" s="1379" t="s">
        <v>177</v>
      </c>
      <c r="D54" s="1350"/>
      <c r="E54" s="2192"/>
      <c r="F54" s="2192"/>
      <c r="G54" s="2191"/>
      <c r="H54" s="1350"/>
      <c r="I54" s="1350"/>
      <c r="J54" s="1350"/>
      <c r="K54" s="1350"/>
      <c r="L54" s="1375"/>
      <c r="M54" s="1351"/>
      <c r="N54" s="1351"/>
      <c r="P54" s="1352"/>
      <c r="Q54" s="1353"/>
      <c r="R54" s="1352"/>
      <c r="S54" s="1358"/>
      <c r="T54" s="1361" t="s">
        <v>435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9" customFormat="1" customHeight="1" ht="0.75">
      <c r="A55" s="1379" t="s">
        <v>175</v>
      </c>
      <c r="B55" s="1379" t="s">
        <v>176</v>
      </c>
      <c r="C55" s="1350"/>
      <c r="D55" s="1350"/>
      <c r="E55" s="2192"/>
      <c r="F55" s="2191"/>
      <c r="G55" s="1350"/>
      <c r="H55" s="1350"/>
      <c r="I55" s="1350"/>
      <c r="J55" s="1350"/>
      <c r="K55" s="1350"/>
      <c r="L55" s="1375"/>
      <c r="M55" s="1357"/>
      <c r="N55" s="1357"/>
      <c r="P55" s="1352"/>
      <c r="Q55" s="1353"/>
      <c r="R55" s="1352"/>
      <c r="S55" s="1358"/>
      <c r="T55" s="1361" t="s">
        <v>436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175</v>
      </c>
      <c r="B56" s="1379"/>
      <c r="C56" s="1379"/>
      <c r="D56" s="1379"/>
      <c r="E56" s="2191"/>
      <c r="F56" s="1379"/>
      <c r="G56" s="1379"/>
      <c r="H56" s="1379"/>
      <c r="I56" s="1379"/>
      <c r="J56" s="1379"/>
      <c r="K56" s="1379"/>
      <c r="L56" s="1382"/>
      <c r="M56" s="1357"/>
      <c r="N56" s="1357"/>
      <c r="O56" s="526"/>
      <c r="P56" s="385"/>
      <c r="Q56" s="1380"/>
      <c r="R56" s="385"/>
      <c r="S56" s="1358"/>
      <c r="T56" s="1361" t="s">
        <v>437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9"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18.75" hidden="1">
      <c r="O59" s="545"/>
      <c r="S59" s="1279" t="s">
        <v>510</v>
      </c>
      <c r="T59" s="2218" t="s">
        <v>519</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hidden="1">
      <c r="O60" s="545"/>
      <c r="T60" s="2218" t="s">
        <v>520</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hidden="1">
      <c r="O61" s="545"/>
      <c r="T61" s="2218" t="s">
        <v>521</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510</v>
      </c>
      <c r="T63" s="2230" t="s">
        <v>513</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522</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523</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281E7-F0E3-F88D-14C3-ADDBE125B74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59" width="10.57421875" hidden="1"/>
    <col min="2" max="2" style="3159" width="11.00390625" hidden="1" customWidth="1"/>
    <col min="3" max="3" style="3159" width="10.57421875" hidden="1"/>
    <col min="4" max="4" style="3159" width="11.8515625" hidden="1" customWidth="1"/>
    <col min="5" max="5" style="3159" width="10.00390625" hidden="1" customWidth="1"/>
    <col min="6" max="6" style="3159" width="8.7109375" hidden="1" customWidth="1"/>
    <col min="7" max="7" style="3159" width="7.57421875" hidden="1" customWidth="1"/>
    <col min="8" max="8" style="3159" width="11.421875" hidden="1" customWidth="1"/>
    <col min="9" max="9" style="3159" width="12.00390625" hidden="1" customWidth="1"/>
    <col min="10" max="10" style="3159" width="9.8515625" hidden="1" customWidth="1"/>
    <col min="11" max="11" style="3159" width="11.421875" hidden="1" customWidth="1"/>
    <col min="12" max="12" style="3618" width="19.140625" hidden="1" customWidth="1"/>
    <col min="13" max="14" style="3619" width="12.28125" hidden="1" customWidth="1"/>
    <col min="15" max="15" style="3619" width="23.421875" hidden="1" customWidth="1"/>
    <col min="16" max="16" style="3638" width="3.7109375" hidden="1" customWidth="1"/>
    <col min="17" max="18" style="3694" width="3.7109375" customWidth="1"/>
    <col min="19" max="19" style="3695" width="12.7109375" customWidth="1"/>
    <col min="20" max="20" style="2876" width="32.00390625" customWidth="1"/>
    <col min="21" max="21" style="2876" width="0.140625" customWidth="1"/>
    <col min="22" max="22" style="2876" width="24.7109375" hidden="1" customWidth="1"/>
    <col min="23" max="23" style="2876" width="0.140625" hidden="1" customWidth="1"/>
    <col min="24" max="25" style="2876" width="24.7109375" hidden="1" customWidth="1"/>
    <col min="26" max="26" style="2876" width="11.7109375" hidden="1" customWidth="1"/>
    <col min="27" max="27" style="2876" width="3.7109375" hidden="1" customWidth="1"/>
    <col min="28" max="28" style="2876" width="11.7109375" hidden="1" customWidth="1"/>
    <col min="29" max="29" style="2876" width="8.57421875" hidden="1" customWidth="1"/>
    <col min="30" max="30" style="2876" width="24.7109375" customWidth="1"/>
    <col min="31" max="31" style="2876" width="0.140625" customWidth="1"/>
    <col min="32" max="33" style="2876" width="24.7109375" customWidth="1"/>
    <col min="34" max="34" style="2876" width="11.7109375" customWidth="1"/>
    <col min="35" max="35" style="2876" width="3.7109375" customWidth="1"/>
    <col min="36" max="36" style="2876" width="11.7109375" customWidth="1"/>
    <col min="37" max="37" style="2876" width="8.57421875" hidden="1" customWidth="1"/>
    <col min="38" max="38" style="2876" width="4.7109375" customWidth="1"/>
    <col min="39" max="39" style="2876"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130</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461</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462</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463</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464</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465</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466</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467</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468</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471</v>
      </c>
      <c r="M7" s="545"/>
      <c r="N7" s="1402"/>
      <c r="P7" s="2190"/>
      <c r="Q7" s="2190">
        <v>1</v>
      </c>
      <c r="R7" s="353"/>
      <c r="S7" s="1372">
        <f>$J7</f>
      </c>
      <c r="T7" s="274" t="s">
        <v>472</v>
      </c>
      <c r="U7" s="288"/>
      <c r="V7" s="2178"/>
      <c r="W7" s="2179"/>
      <c r="X7" s="2179"/>
      <c r="Y7" s="2179"/>
      <c r="Z7" s="2179"/>
      <c r="AA7" s="2179"/>
      <c r="AB7" s="2179"/>
      <c r="AC7" s="2180"/>
      <c r="AD7" s="2178"/>
      <c r="AE7" s="2179"/>
      <c r="AF7" s="2179"/>
      <c r="AG7" s="2179"/>
      <c r="AH7" s="2179"/>
      <c r="AI7" s="2179"/>
      <c r="AJ7" s="2179"/>
      <c r="AK7" s="2179"/>
      <c r="AL7" s="2180"/>
      <c r="AM7" s="1292" t="s">
        <v>473</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474</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475</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476</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477</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599"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9"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436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9"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437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59" customFormat="1" customHeight="1" ht="22.5" hidden="1">
      <c r="L20" s="1365"/>
      <c r="M20" s="1398"/>
      <c r="N20" s="1398"/>
      <c r="O20" s="1403" t="s">
        <v>479</v>
      </c>
      <c r="P20" s="1398"/>
      <c r="Q20" s="1407"/>
      <c r="R20" s="1407"/>
      <c r="S20" s="738"/>
      <c r="Z20" s="1403"/>
      <c r="AB20" s="1403"/>
      <c r="AC20" s="1402"/>
      <c r="AH20" s="1403"/>
      <c r="AJ20" s="1403"/>
      <c r="AK20" s="1402"/>
      <c r="AN20" s="519"/>
      <c r="AO20" s="519"/>
      <c r="AP20" s="519"/>
      <c r="AQ20" s="519"/>
      <c r="AR20" s="519"/>
    </row>
    <row s="3159" customFormat="1" customHeight="1" ht="14.25" hidden="1">
      <c r="L21" s="1365"/>
      <c r="M21" s="1398"/>
      <c r="N21" s="1398"/>
      <c r="O21" s="1398"/>
      <c r="P21" s="1398"/>
      <c r="Q21" s="1407"/>
      <c r="R21" s="1407"/>
      <c r="S21" s="738"/>
      <c r="AC21" s="1402"/>
      <c r="AK21" s="1402"/>
      <c r="AN21" s="519"/>
      <c r="AO21" s="519"/>
      <c r="AP21" s="519"/>
      <c r="AQ21" s="519"/>
      <c r="AR21" s="519"/>
    </row>
    <row s="3159" customFormat="1" customHeight="1" ht="14.25" hidden="1">
      <c r="L22" s="1365"/>
      <c r="M22" s="1398"/>
      <c r="N22" s="1398"/>
      <c r="O22" s="1400" t="s">
        <v>480</v>
      </c>
      <c r="P22" s="1398"/>
      <c r="Q22" s="1407"/>
      <c r="R22" s="1407"/>
      <c r="S22" s="738"/>
      <c r="T22" s="1174" t="s">
        <v>481</v>
      </c>
      <c r="AA22" s="172" t="s">
        <v>482</v>
      </c>
      <c r="AC22" s="172" t="s">
        <v>483</v>
      </c>
      <c r="AD22" s="1174" t="s">
        <v>481</v>
      </c>
      <c r="AI22" s="172" t="s">
        <v>484</v>
      </c>
      <c r="AK22" s="172" t="s">
        <v>483</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"Уссурийск-Водоканал"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8" customFormat="1" customHeight="1" ht="25.5" hidden="1">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8" customFormat="1" customHeight="1" ht="18.75" hidden="1">
      <c r="A30" s="1404"/>
      <c r="B30" s="1404"/>
      <c r="C30" s="1404"/>
      <c r="D30" s="1404"/>
      <c r="E30" s="1404"/>
      <c r="F30" s="1404"/>
      <c r="G30" s="1404"/>
      <c r="H30" s="1404"/>
      <c r="I30" s="1404"/>
      <c r="J30" s="1404"/>
      <c r="K30" s="1404"/>
      <c r="L30" s="1405"/>
      <c r="M30" s="1404"/>
      <c r="N30" s="1404"/>
      <c r="O30" s="1404"/>
      <c r="S30" s="2183" t="s">
        <v>485</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8" customFormat="1" customHeight="1" ht="18.75" hidden="1">
      <c r="A31" s="1404"/>
      <c r="B31" s="1404"/>
      <c r="C31" s="1404"/>
      <c r="D31" s="1404"/>
      <c r="E31" s="1404"/>
      <c r="F31" s="1404"/>
      <c r="G31" s="1404"/>
      <c r="H31" s="1404"/>
      <c r="I31" s="1404"/>
      <c r="J31" s="1404"/>
      <c r="K31" s="1404"/>
      <c r="L31" s="1405"/>
      <c r="M31" s="1404"/>
      <c r="N31" s="1404"/>
      <c r="O31" s="1404"/>
      <c r="S31" s="2183" t="s">
        <v>486</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8" customFormat="1" customHeight="1" ht="18.75" hidden="1">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8" customFormat="1" customHeight="1" ht="18.75" hidden="1">
      <c r="A34" s="1404"/>
      <c r="B34" s="1404"/>
      <c r="C34" s="1404"/>
      <c r="D34" s="1404"/>
      <c r="E34" s="1404"/>
      <c r="F34" s="1404"/>
      <c r="G34" s="1404"/>
      <c r="H34" s="1404"/>
      <c r="I34" s="1404"/>
      <c r="J34" s="1404"/>
      <c r="K34" s="1404"/>
      <c r="L34" s="1405"/>
      <c r="M34" s="1404"/>
      <c r="N34" s="1404"/>
      <c r="O34" s="1404"/>
      <c r="S34" s="2183" t="s">
        <v>487</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8" customFormat="1" customHeight="1" ht="18.75" hidden="1">
      <c r="A35" s="1404"/>
      <c r="B35" s="1404"/>
      <c r="C35" s="1404"/>
      <c r="D35" s="1404"/>
      <c r="E35" s="1404"/>
      <c r="F35" s="1404"/>
      <c r="G35" s="1404"/>
      <c r="H35" s="1404"/>
      <c r="I35" s="1404"/>
      <c r="J35" s="1404"/>
      <c r="K35" s="1404"/>
      <c r="L35" s="1405"/>
      <c r="M35" s="1404"/>
      <c r="N35" s="1404"/>
      <c r="O35" s="1404"/>
      <c r="S35" s="2183" t="s">
        <v>488</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8"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489</v>
      </c>
      <c r="AD36" s="322"/>
      <c r="AE36" s="322"/>
      <c r="AF36" s="322"/>
      <c r="AG36" s="322"/>
      <c r="AH36" s="322"/>
      <c r="AI36" s="322"/>
      <c r="AJ36" s="322"/>
      <c r="AK36" s="266" t="s">
        <v>489</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88</v>
      </c>
      <c r="T39" s="2047" t="s">
        <v>490</v>
      </c>
      <c r="U39" s="289"/>
      <c r="V39" s="2207" t="s">
        <v>491</v>
      </c>
      <c r="W39" s="2208"/>
      <c r="X39" s="2208"/>
      <c r="Y39" s="2208"/>
      <c r="Z39" s="2208"/>
      <c r="AA39" s="2208"/>
      <c r="AB39" s="2209"/>
      <c r="AC39" s="2210" t="s">
        <v>492</v>
      </c>
      <c r="AD39" s="2207" t="s">
        <v>491</v>
      </c>
      <c r="AE39" s="2208"/>
      <c r="AF39" s="2208"/>
      <c r="AG39" s="2208"/>
      <c r="AH39" s="2208"/>
      <c r="AI39" s="2208"/>
      <c r="AJ39" s="2209"/>
      <c r="AK39" s="2210" t="s">
        <v>493</v>
      </c>
      <c r="AL39" s="2213" t="s">
        <v>494</v>
      </c>
      <c r="AM39" s="1966"/>
    </row>
    <row customHeight="1" ht="33.75">
      <c r="Q40" s="377"/>
      <c r="R40" s="377"/>
      <c r="S40" s="2206"/>
      <c r="T40" s="2047"/>
      <c r="U40" s="1044"/>
      <c r="V40" s="2193" t="s">
        <v>495</v>
      </c>
      <c r="W40" s="2216"/>
      <c r="X40" s="2195" t="s">
        <v>497</v>
      </c>
      <c r="Y40" s="2196"/>
      <c r="Z40" s="2195" t="s">
        <v>498</v>
      </c>
      <c r="AA40" s="2202"/>
      <c r="AB40" s="2196"/>
      <c r="AC40" s="2211"/>
      <c r="AD40" s="2193" t="s">
        <v>495</v>
      </c>
      <c r="AE40" s="2216"/>
      <c r="AF40" s="2195" t="s">
        <v>497</v>
      </c>
      <c r="AG40" s="2196"/>
      <c r="AH40" s="2195" t="s">
        <v>498</v>
      </c>
      <c r="AI40" s="2202"/>
      <c r="AJ40" s="2196"/>
      <c r="AK40" s="2211"/>
      <c r="AL40" s="2214"/>
      <c r="AM40" s="1966"/>
    </row>
    <row customHeight="1" ht="33.75">
      <c r="A41" s="1406"/>
      <c r="B41" s="1406" t="s">
        <v>142</v>
      </c>
      <c r="C41" s="1406" t="s">
        <v>143</v>
      </c>
      <c r="D41" s="1406" t="s">
        <v>144</v>
      </c>
      <c r="E41" s="1400" t="s">
        <v>499</v>
      </c>
      <c r="F41" s="1400" t="s">
        <v>500</v>
      </c>
      <c r="G41" s="1400" t="s">
        <v>501</v>
      </c>
      <c r="H41" s="1400" t="s">
        <v>502</v>
      </c>
      <c r="I41" s="1400" t="s">
        <v>503</v>
      </c>
      <c r="J41" s="1400" t="s">
        <v>504</v>
      </c>
      <c r="K41" s="1400" t="s">
        <v>505</v>
      </c>
      <c r="L41" s="1400" t="s">
        <v>480</v>
      </c>
      <c r="Q41" s="377"/>
      <c r="R41" s="377"/>
      <c r="S41" s="2206"/>
      <c r="T41" s="2047"/>
      <c r="U41" s="290"/>
      <c r="V41" s="2194"/>
      <c r="W41" s="2217"/>
      <c r="X41" s="1243" t="s">
        <v>506</v>
      </c>
      <c r="Y41" s="1243" t="s">
        <v>507</v>
      </c>
      <c r="Z41" s="1374" t="s">
        <v>508</v>
      </c>
      <c r="AA41" s="2203" t="s">
        <v>509</v>
      </c>
      <c r="AB41" s="2204"/>
      <c r="AC41" s="2212"/>
      <c r="AD41" s="2194"/>
      <c r="AE41" s="2217"/>
      <c r="AF41" s="1243" t="s">
        <v>506</v>
      </c>
      <c r="AG41" s="1243" t="s">
        <v>507</v>
      </c>
      <c r="AH41" s="1374" t="s">
        <v>508</v>
      </c>
      <c r="AI41" s="2203" t="s">
        <v>509</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187</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130</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187</v>
      </c>
      <c r="B44" s="1399" t="s">
        <v>188</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462</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463</v>
      </c>
      <c r="AO44" s="508"/>
      <c r="AP44" s="508" t="str">
        <f>IF(T44="","",T44)</f>
        <v>Территория действия тарифа</v>
      </c>
      <c r="AQ44" s="508"/>
      <c r="AR44" s="508"/>
    </row>
    <row customHeight="1" ht="23.25">
      <c r="A45" s="1399" t="s">
        <v>187</v>
      </c>
      <c r="B45" s="1399" t="s">
        <v>188</v>
      </c>
      <c r="C45" s="1399" t="s">
        <v>189</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464</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465</v>
      </c>
      <c r="AO45" s="508"/>
      <c r="AP45" s="508" t="str">
        <f>IF(T45="","",T45)</f>
        <v>Наименование системы теплоснабжения </v>
      </c>
      <c r="AQ45" s="508"/>
      <c r="AR45" s="508"/>
    </row>
    <row customHeight="1" ht="21">
      <c r="A46" s="1399" t="s">
        <v>187</v>
      </c>
      <c r="B46" s="1399" t="s">
        <v>188</v>
      </c>
      <c r="C46" s="1399" t="s">
        <v>189</v>
      </c>
      <c r="D46" s="1399" t="s">
        <v>190</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466</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467</v>
      </c>
      <c r="AO46" s="508"/>
      <c r="AP46" s="508" t="str">
        <f>IF(T46="","",T46)</f>
        <v>Источник тепловой энергии  </v>
      </c>
      <c r="AQ46" s="508"/>
      <c r="AR46" s="508"/>
    </row>
    <row s="2587" customFormat="1" customHeight="1" ht="0">
      <c r="A47" s="1379" t="s">
        <v>187</v>
      </c>
      <c r="B47" s="1379" t="s">
        <v>188</v>
      </c>
      <c r="C47" s="1379" t="s">
        <v>189</v>
      </c>
      <c r="D47" s="1379" t="s">
        <v>190</v>
      </c>
      <c r="E47" s="2192"/>
      <c r="F47" s="2192"/>
      <c r="G47" s="2192"/>
      <c r="H47" s="2192"/>
      <c r="I47" s="2189" t="str">
        <f>S46&amp;".1"</f>
        <v>....1</v>
      </c>
      <c r="J47" s="1379"/>
      <c r="K47" s="1379"/>
      <c r="L47" s="1382" t="s">
        <v>468</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187</v>
      </c>
      <c r="B48" s="1399" t="s">
        <v>188</v>
      </c>
      <c r="C48" s="1399" t="s">
        <v>189</v>
      </c>
      <c r="D48" s="1399" t="s">
        <v>190</v>
      </c>
      <c r="E48" s="2192"/>
      <c r="F48" s="2192"/>
      <c r="G48" s="2192"/>
      <c r="H48" s="2192"/>
      <c r="I48" s="2219"/>
      <c r="J48" s="2189" t="str">
        <f>S46&amp;".1"</f>
        <v>....1</v>
      </c>
      <c r="K48" s="1399"/>
      <c r="L48" s="1400" t="s">
        <v>471</v>
      </c>
      <c r="P48" s="2190"/>
      <c r="Q48" s="2190">
        <v>1</v>
      </c>
      <c r="R48" s="353"/>
      <c r="S48" s="1372" t="str">
        <f>$J48</f>
        <v>....1</v>
      </c>
      <c r="T48" s="274" t="s">
        <v>472</v>
      </c>
      <c r="U48" s="288"/>
      <c r="V48" s="2178"/>
      <c r="W48" s="2179"/>
      <c r="X48" s="2179"/>
      <c r="Y48" s="2179"/>
      <c r="Z48" s="2179"/>
      <c r="AA48" s="2179"/>
      <c r="AB48" s="2179"/>
      <c r="AC48" s="2180"/>
      <c r="AD48" s="2178"/>
      <c r="AE48" s="2179"/>
      <c r="AF48" s="2179"/>
      <c r="AG48" s="2179"/>
      <c r="AH48" s="2179"/>
      <c r="AI48" s="2179"/>
      <c r="AJ48" s="2179"/>
      <c r="AK48" s="2179"/>
      <c r="AL48" s="2180"/>
      <c r="AM48" s="1292" t="s">
        <v>473</v>
      </c>
      <c r="AO48" s="508"/>
      <c r="AP48" s="508" t="str">
        <f>IF(T48="","",T48)</f>
        <v>Группа потребителей</v>
      </c>
      <c r="AQ48" s="508"/>
      <c r="AR48" s="508"/>
    </row>
    <row customHeight="1" ht="21">
      <c r="A49" s="1399" t="s">
        <v>187</v>
      </c>
      <c r="B49" s="1399" t="s">
        <v>188</v>
      </c>
      <c r="C49" s="1399" t="s">
        <v>189</v>
      </c>
      <c r="D49" s="1399" t="s">
        <v>190</v>
      </c>
      <c r="E49" s="2192"/>
      <c r="F49" s="2192"/>
      <c r="G49" s="2192"/>
      <c r="H49" s="2192"/>
      <c r="I49" s="2219"/>
      <c r="J49" s="2219"/>
      <c r="K49" s="2189" t="str">
        <f>J48&amp;".1"</f>
        <v>....1.1</v>
      </c>
      <c r="L49" s="1400" t="s">
        <v>474</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518</v>
      </c>
      <c r="AN49" s="519">
        <f>STRCHECKDATE(V50:AL50)</f>
      </c>
      <c r="AO49" s="508"/>
      <c r="AP49" s="508" t="str">
        <f>IF(T49="","",T49)</f>
        <v/>
      </c>
      <c r="AQ49" s="508"/>
      <c r="AR49" s="508"/>
    </row>
    <row customHeight="1" ht="0.75">
      <c r="A50" s="1399" t="s">
        <v>187</v>
      </c>
      <c r="B50" s="1399" t="s">
        <v>188</v>
      </c>
      <c r="C50" s="1399" t="s">
        <v>189</v>
      </c>
      <c r="D50" s="1399" t="s">
        <v>190</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187</v>
      </c>
      <c r="B51" s="1399" t="s">
        <v>188</v>
      </c>
      <c r="C51" s="1399" t="s">
        <v>189</v>
      </c>
      <c r="D51" s="1399" t="s">
        <v>190</v>
      </c>
      <c r="E51" s="2192"/>
      <c r="F51" s="2192"/>
      <c r="G51" s="2192"/>
      <c r="H51" s="2192"/>
      <c r="I51" s="2219"/>
      <c r="J51" s="2189"/>
      <c r="K51" s="1399"/>
      <c r="L51" s="1400"/>
      <c r="P51" s="2190"/>
      <c r="Q51" s="2190"/>
      <c r="R51" s="352"/>
      <c r="S51" s="1314"/>
      <c r="T51" s="275" t="s">
        <v>476</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187</v>
      </c>
      <c r="B52" s="1399" t="s">
        <v>188</v>
      </c>
      <c r="C52" s="1399" t="s">
        <v>189</v>
      </c>
      <c r="D52" s="1399" t="s">
        <v>190</v>
      </c>
      <c r="E52" s="2192"/>
      <c r="F52" s="2192"/>
      <c r="G52" s="2192"/>
      <c r="H52" s="2192"/>
      <c r="I52" s="2189"/>
      <c r="J52" s="1399"/>
      <c r="K52" s="1399"/>
      <c r="L52" s="1400"/>
      <c r="P52" s="2190"/>
      <c r="Q52" s="1367"/>
      <c r="R52" s="352"/>
      <c r="S52" s="1314"/>
      <c r="T52" s="364" t="s">
        <v>477</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187</v>
      </c>
      <c r="B53" s="1399" t="s">
        <v>188</v>
      </c>
      <c r="C53" s="1399" t="s">
        <v>189</v>
      </c>
      <c r="D53" s="1399" t="s">
        <v>190</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599" customFormat="1" customHeight="1" ht="0.75">
      <c r="A54" s="1379" t="s">
        <v>187</v>
      </c>
      <c r="B54" s="1379" t="s">
        <v>188</v>
      </c>
      <c r="C54" s="1379" t="s">
        <v>189</v>
      </c>
      <c r="D54" s="1350"/>
      <c r="E54" s="2192"/>
      <c r="F54" s="2192"/>
      <c r="G54" s="2191"/>
      <c r="H54" s="1350"/>
      <c r="I54" s="1350"/>
      <c r="J54" s="1350"/>
      <c r="K54" s="1350"/>
      <c r="L54" s="1375"/>
      <c r="M54" s="1351"/>
      <c r="N54" s="1351"/>
      <c r="P54" s="1352"/>
      <c r="Q54" s="1353"/>
      <c r="R54" s="1352"/>
      <c r="S54" s="1358"/>
      <c r="T54" s="1361" t="s">
        <v>435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9" customFormat="1" customHeight="1" ht="0.75">
      <c r="A55" s="1379" t="s">
        <v>187</v>
      </c>
      <c r="B55" s="1379" t="s">
        <v>188</v>
      </c>
      <c r="C55" s="1350"/>
      <c r="D55" s="1350"/>
      <c r="E55" s="2192"/>
      <c r="F55" s="2191"/>
      <c r="G55" s="1350"/>
      <c r="H55" s="1350"/>
      <c r="I55" s="1350"/>
      <c r="J55" s="1350"/>
      <c r="K55" s="1350"/>
      <c r="L55" s="1375"/>
      <c r="M55" s="1357"/>
      <c r="N55" s="1357"/>
      <c r="P55" s="1352"/>
      <c r="Q55" s="1353"/>
      <c r="R55" s="1352"/>
      <c r="S55" s="1358"/>
      <c r="T55" s="1361" t="s">
        <v>436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187</v>
      </c>
      <c r="B56" s="1379"/>
      <c r="C56" s="1379"/>
      <c r="D56" s="1379"/>
      <c r="E56" s="2191"/>
      <c r="F56" s="1379"/>
      <c r="G56" s="1379"/>
      <c r="H56" s="1379"/>
      <c r="I56" s="1379"/>
      <c r="J56" s="1379"/>
      <c r="K56" s="1379"/>
      <c r="L56" s="1382"/>
      <c r="M56" s="1357"/>
      <c r="N56" s="1357"/>
      <c r="O56" s="526"/>
      <c r="P56" s="385"/>
      <c r="Q56" s="1380"/>
      <c r="R56" s="385"/>
      <c r="S56" s="1358"/>
      <c r="T56" s="1361" t="s">
        <v>437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9"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1.75" hidden="1">
      <c r="O59" s="545"/>
      <c r="S59" s="1279" t="s">
        <v>510</v>
      </c>
      <c r="T59" s="2218" t="s">
        <v>519</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hidden="1">
      <c r="O60" s="545"/>
      <c r="T60" s="2218" t="s">
        <v>520</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hidden="1">
      <c r="O61" s="545"/>
      <c r="T61" s="2218" t="s">
        <v>521</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510</v>
      </c>
      <c r="T63" s="2230" t="s">
        <v>513</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522</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523</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DDE0E7-60A2-8F42-F518-3A4B13871084}"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59" width="10.57421875" hidden="1"/>
    <col min="2" max="2" style="3159" width="11.00390625" hidden="1" customWidth="1"/>
    <col min="3" max="3" style="3159" width="10.57421875" hidden="1"/>
    <col min="4" max="4" style="3159" width="11.8515625" hidden="1" customWidth="1"/>
    <col min="5" max="5" style="3159" width="10.00390625" hidden="1" customWidth="1"/>
    <col min="6" max="6" style="3159" width="8.7109375" hidden="1" customWidth="1"/>
    <col min="7" max="7" style="3159" width="7.57421875" hidden="1" customWidth="1"/>
    <col min="8" max="8" style="3159" width="11.421875" hidden="1" customWidth="1"/>
    <col min="9" max="9" style="3159" width="12.00390625" hidden="1" customWidth="1"/>
    <col min="10" max="10" style="3159" width="9.8515625" hidden="1" customWidth="1"/>
    <col min="11" max="11" style="3159" width="11.421875" hidden="1" customWidth="1"/>
    <col min="12" max="12" style="3618" width="19.140625" hidden="1" customWidth="1"/>
    <col min="13" max="14" style="3619" width="12.28125" hidden="1" customWidth="1"/>
    <col min="15" max="15" style="3619" width="23.421875" hidden="1" customWidth="1"/>
    <col min="16" max="16" style="3638" width="3.7109375" hidden="1" customWidth="1"/>
    <col min="17" max="18" style="3694" width="3.7109375" customWidth="1"/>
    <col min="19" max="19" style="3695" width="12.7109375" customWidth="1"/>
    <col min="20" max="20" style="2876" width="32.00390625" customWidth="1"/>
    <col min="21" max="21" style="2876" width="0.140625" customWidth="1"/>
    <col min="22" max="22" style="2876" width="24.7109375" hidden="1" customWidth="1"/>
    <col min="23" max="23" style="2876" width="0.140625" hidden="1" customWidth="1"/>
    <col min="24" max="25" style="2876" width="24.7109375" hidden="1" customWidth="1"/>
    <col min="26" max="26" style="2876" width="11.7109375" hidden="1" customWidth="1"/>
    <col min="27" max="27" style="2876" width="3.7109375" hidden="1" customWidth="1"/>
    <col min="28" max="28" style="2876" width="11.7109375" hidden="1" customWidth="1"/>
    <col min="29" max="29" style="2876" width="8.57421875" hidden="1" customWidth="1"/>
    <col min="30" max="30" style="2876" width="24.7109375" customWidth="1"/>
    <col min="31" max="31" style="2876" width="0.140625" customWidth="1"/>
    <col min="32" max="33" style="2876" width="24.7109375" customWidth="1"/>
    <col min="34" max="34" style="2876" width="11.7109375" customWidth="1"/>
    <col min="35" max="35" style="2876" width="3.7109375" customWidth="1"/>
    <col min="36" max="36" style="2876" width="11.7109375" customWidth="1"/>
    <col min="37" max="37" style="2876" width="8.57421875" hidden="1" customWidth="1"/>
    <col min="38" max="38" style="2876" width="4.7109375" customWidth="1"/>
    <col min="39" max="39" style="2876"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130</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461</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462</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463</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464</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465</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466</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467</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468</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471</v>
      </c>
      <c r="M7" s="545"/>
      <c r="N7" s="1402"/>
      <c r="P7" s="2190"/>
      <c r="Q7" s="2190">
        <v>1</v>
      </c>
      <c r="R7" s="353"/>
      <c r="S7" s="1372">
        <f>$J7</f>
      </c>
      <c r="T7" s="274" t="s">
        <v>472</v>
      </c>
      <c r="U7" s="288"/>
      <c r="V7" s="2178"/>
      <c r="W7" s="2179"/>
      <c r="X7" s="2179"/>
      <c r="Y7" s="2179"/>
      <c r="Z7" s="2179"/>
      <c r="AA7" s="2179"/>
      <c r="AB7" s="2179"/>
      <c r="AC7" s="2180"/>
      <c r="AD7" s="2178"/>
      <c r="AE7" s="2179"/>
      <c r="AF7" s="2179"/>
      <c r="AG7" s="2179"/>
      <c r="AH7" s="2179"/>
      <c r="AI7" s="2179"/>
      <c r="AJ7" s="2179"/>
      <c r="AK7" s="2179"/>
      <c r="AL7" s="2180"/>
      <c r="AM7" s="1292" t="s">
        <v>473</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474</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475</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476</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477</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599"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9"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436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9"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437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59" customFormat="1" customHeight="1" ht="22.5" hidden="1">
      <c r="L20" s="1365"/>
      <c r="M20" s="1398"/>
      <c r="N20" s="1398"/>
      <c r="O20" s="1403" t="s">
        <v>479</v>
      </c>
      <c r="P20" s="1398"/>
      <c r="Q20" s="1407"/>
      <c r="R20" s="1407"/>
      <c r="S20" s="738"/>
      <c r="Z20" s="1403"/>
      <c r="AB20" s="1403"/>
      <c r="AC20" s="1402"/>
      <c r="AH20" s="1403"/>
      <c r="AJ20" s="1403"/>
      <c r="AK20" s="1402"/>
      <c r="AN20" s="519"/>
      <c r="AO20" s="519"/>
      <c r="AP20" s="519"/>
      <c r="AQ20" s="519"/>
      <c r="AR20" s="519"/>
    </row>
    <row s="3159" customFormat="1" customHeight="1" ht="14.25" hidden="1">
      <c r="L21" s="1365"/>
      <c r="M21" s="1398"/>
      <c r="N21" s="1398"/>
      <c r="O21" s="1398"/>
      <c r="P21" s="1398"/>
      <c r="Q21" s="1407"/>
      <c r="R21" s="1407"/>
      <c r="S21" s="738"/>
      <c r="AC21" s="1402"/>
      <c r="AK21" s="1402"/>
      <c r="AN21" s="519"/>
      <c r="AO21" s="519"/>
      <c r="AP21" s="519"/>
      <c r="AQ21" s="519"/>
      <c r="AR21" s="519"/>
    </row>
    <row s="3159" customFormat="1" customHeight="1" ht="14.25" hidden="1">
      <c r="L22" s="1365"/>
      <c r="M22" s="1398"/>
      <c r="N22" s="1398"/>
      <c r="O22" s="1400" t="s">
        <v>480</v>
      </c>
      <c r="P22" s="1398"/>
      <c r="Q22" s="1407"/>
      <c r="R22" s="1407"/>
      <c r="S22" s="738"/>
      <c r="T22" s="1174" t="s">
        <v>481</v>
      </c>
      <c r="AA22" s="172" t="s">
        <v>482</v>
      </c>
      <c r="AC22" s="172" t="s">
        <v>483</v>
      </c>
      <c r="AD22" s="1174" t="s">
        <v>481</v>
      </c>
      <c r="AI22" s="172" t="s">
        <v>484</v>
      </c>
      <c r="AK22" s="172" t="s">
        <v>483</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"Уссурийск-Водоканал"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8" customFormat="1" customHeight="1" ht="25.5" hidden="1">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8" customFormat="1" customHeight="1" ht="18.75" hidden="1">
      <c r="A30" s="1404"/>
      <c r="B30" s="1404"/>
      <c r="C30" s="1404"/>
      <c r="D30" s="1404"/>
      <c r="E30" s="1404"/>
      <c r="F30" s="1404"/>
      <c r="G30" s="1404"/>
      <c r="H30" s="1404"/>
      <c r="I30" s="1404"/>
      <c r="J30" s="1404"/>
      <c r="K30" s="1404"/>
      <c r="L30" s="1405"/>
      <c r="M30" s="1404"/>
      <c r="N30" s="1404"/>
      <c r="O30" s="1404"/>
      <c r="S30" s="2183" t="s">
        <v>485</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8" customFormat="1" customHeight="1" ht="18.75" hidden="1">
      <c r="A31" s="1404"/>
      <c r="B31" s="1404"/>
      <c r="C31" s="1404"/>
      <c r="D31" s="1404"/>
      <c r="E31" s="1404"/>
      <c r="F31" s="1404"/>
      <c r="G31" s="1404"/>
      <c r="H31" s="1404"/>
      <c r="I31" s="1404"/>
      <c r="J31" s="1404"/>
      <c r="K31" s="1404"/>
      <c r="L31" s="1405"/>
      <c r="M31" s="1404"/>
      <c r="N31" s="1404"/>
      <c r="O31" s="1404"/>
      <c r="S31" s="2183" t="s">
        <v>486</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8" customFormat="1" customHeight="1" ht="18.75" hidden="1">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8" customFormat="1" customHeight="1" ht="18.75" hidden="1">
      <c r="A34" s="1404"/>
      <c r="B34" s="1404"/>
      <c r="C34" s="1404"/>
      <c r="D34" s="1404"/>
      <c r="E34" s="1404"/>
      <c r="F34" s="1404"/>
      <c r="G34" s="1404"/>
      <c r="H34" s="1404"/>
      <c r="I34" s="1404"/>
      <c r="J34" s="1404"/>
      <c r="K34" s="1404"/>
      <c r="L34" s="1405"/>
      <c r="M34" s="1404"/>
      <c r="N34" s="1404"/>
      <c r="O34" s="1404"/>
      <c r="S34" s="2183" t="s">
        <v>487</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8" customFormat="1" customHeight="1" ht="25.5" hidden="1">
      <c r="A35" s="1404"/>
      <c r="B35" s="1404"/>
      <c r="C35" s="1404"/>
      <c r="D35" s="1404"/>
      <c r="E35" s="1404"/>
      <c r="F35" s="1404"/>
      <c r="G35" s="1404"/>
      <c r="H35" s="1404"/>
      <c r="I35" s="1404"/>
      <c r="J35" s="1404"/>
      <c r="K35" s="1404"/>
      <c r="L35" s="1405"/>
      <c r="M35" s="1404"/>
      <c r="N35" s="1404"/>
      <c r="O35" s="1404"/>
      <c r="S35" s="2183" t="s">
        <v>488</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8"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489</v>
      </c>
      <c r="AD36" s="322"/>
      <c r="AE36" s="322"/>
      <c r="AF36" s="322"/>
      <c r="AG36" s="322"/>
      <c r="AH36" s="322"/>
      <c r="AI36" s="322"/>
      <c r="AJ36" s="322"/>
      <c r="AK36" s="266" t="s">
        <v>489</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88</v>
      </c>
      <c r="T39" s="2047" t="s">
        <v>490</v>
      </c>
      <c r="U39" s="289"/>
      <c r="V39" s="2207" t="s">
        <v>491</v>
      </c>
      <c r="W39" s="2208"/>
      <c r="X39" s="2208"/>
      <c r="Y39" s="2208"/>
      <c r="Z39" s="2208"/>
      <c r="AA39" s="2208"/>
      <c r="AB39" s="2209"/>
      <c r="AC39" s="2210" t="s">
        <v>492</v>
      </c>
      <c r="AD39" s="2207" t="s">
        <v>491</v>
      </c>
      <c r="AE39" s="2208"/>
      <c r="AF39" s="2208"/>
      <c r="AG39" s="2208"/>
      <c r="AH39" s="2208"/>
      <c r="AI39" s="2208"/>
      <c r="AJ39" s="2209"/>
      <c r="AK39" s="2210" t="s">
        <v>493</v>
      </c>
      <c r="AL39" s="2213" t="s">
        <v>494</v>
      </c>
      <c r="AM39" s="1966"/>
    </row>
    <row customHeight="1" ht="33.75">
      <c r="Q40" s="377"/>
      <c r="R40" s="377"/>
      <c r="S40" s="2206"/>
      <c r="T40" s="2047"/>
      <c r="U40" s="1044"/>
      <c r="V40" s="2193" t="s">
        <v>495</v>
      </c>
      <c r="W40" s="2216"/>
      <c r="X40" s="2195" t="s">
        <v>497</v>
      </c>
      <c r="Y40" s="2196"/>
      <c r="Z40" s="2195" t="s">
        <v>498</v>
      </c>
      <c r="AA40" s="2202"/>
      <c r="AB40" s="2196"/>
      <c r="AC40" s="2211"/>
      <c r="AD40" s="2193" t="s">
        <v>495</v>
      </c>
      <c r="AE40" s="2216"/>
      <c r="AF40" s="2195" t="s">
        <v>497</v>
      </c>
      <c r="AG40" s="2196"/>
      <c r="AH40" s="2195" t="s">
        <v>498</v>
      </c>
      <c r="AI40" s="2202"/>
      <c r="AJ40" s="2196"/>
      <c r="AK40" s="2211"/>
      <c r="AL40" s="2214"/>
      <c r="AM40" s="1966"/>
    </row>
    <row customHeight="1" ht="33.75">
      <c r="A41" s="1406"/>
      <c r="B41" s="1406" t="s">
        <v>142</v>
      </c>
      <c r="C41" s="1406" t="s">
        <v>143</v>
      </c>
      <c r="D41" s="1406" t="s">
        <v>144</v>
      </c>
      <c r="E41" s="1400" t="s">
        <v>499</v>
      </c>
      <c r="F41" s="1400" t="s">
        <v>500</v>
      </c>
      <c r="G41" s="1400" t="s">
        <v>501</v>
      </c>
      <c r="H41" s="1400" t="s">
        <v>502</v>
      </c>
      <c r="I41" s="1400" t="s">
        <v>503</v>
      </c>
      <c r="J41" s="1400" t="s">
        <v>504</v>
      </c>
      <c r="K41" s="1400" t="s">
        <v>505</v>
      </c>
      <c r="L41" s="1400" t="s">
        <v>480</v>
      </c>
      <c r="Q41" s="377"/>
      <c r="R41" s="377"/>
      <c r="S41" s="2206"/>
      <c r="T41" s="2047"/>
      <c r="U41" s="290"/>
      <c r="V41" s="2194"/>
      <c r="W41" s="2217"/>
      <c r="X41" s="1243" t="s">
        <v>506</v>
      </c>
      <c r="Y41" s="1243" t="s">
        <v>507</v>
      </c>
      <c r="Z41" s="1374" t="s">
        <v>508</v>
      </c>
      <c r="AA41" s="2203" t="s">
        <v>509</v>
      </c>
      <c r="AB41" s="2204"/>
      <c r="AC41" s="2212"/>
      <c r="AD41" s="2194"/>
      <c r="AE41" s="2217"/>
      <c r="AF41" s="1243" t="s">
        <v>506</v>
      </c>
      <c r="AG41" s="1243" t="s">
        <v>507</v>
      </c>
      <c r="AH41" s="1374" t="s">
        <v>508</v>
      </c>
      <c r="AI41" s="2203" t="s">
        <v>509</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193</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130</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193</v>
      </c>
      <c r="B44" s="1399" t="s">
        <v>194</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462</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463</v>
      </c>
      <c r="AO44" s="508"/>
      <c r="AP44" s="508" t="str">
        <f>IF(T44="","",T44)</f>
        <v>Территория действия тарифа</v>
      </c>
      <c r="AQ44" s="508"/>
      <c r="AR44" s="508"/>
    </row>
    <row customHeight="1" ht="23.25">
      <c r="A45" s="1399" t="s">
        <v>193</v>
      </c>
      <c r="B45" s="1399" t="s">
        <v>194</v>
      </c>
      <c r="C45" s="1399" t="s">
        <v>195</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464</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465</v>
      </c>
      <c r="AO45" s="508"/>
      <c r="AP45" s="508" t="str">
        <f>IF(T45="","",T45)</f>
        <v>Наименование системы теплоснабжения </v>
      </c>
      <c r="AQ45" s="508"/>
      <c r="AR45" s="508"/>
    </row>
    <row customHeight="1" ht="21">
      <c r="A46" s="1399" t="s">
        <v>193</v>
      </c>
      <c r="B46" s="1399" t="s">
        <v>194</v>
      </c>
      <c r="C46" s="1399" t="s">
        <v>195</v>
      </c>
      <c r="D46" s="1399" t="s">
        <v>196</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466</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467</v>
      </c>
      <c r="AO46" s="508"/>
      <c r="AP46" s="508" t="str">
        <f>IF(T46="","",T46)</f>
        <v>Источник тепловой энергии  </v>
      </c>
      <c r="AQ46" s="508"/>
      <c r="AR46" s="508"/>
    </row>
    <row s="2587" customFormat="1" customHeight="1" ht="0">
      <c r="A47" s="1379" t="s">
        <v>193</v>
      </c>
      <c r="B47" s="1379" t="s">
        <v>194</v>
      </c>
      <c r="C47" s="1379" t="s">
        <v>195</v>
      </c>
      <c r="D47" s="1379" t="s">
        <v>196</v>
      </c>
      <c r="E47" s="2192"/>
      <c r="F47" s="2192"/>
      <c r="G47" s="2192"/>
      <c r="H47" s="2192"/>
      <c r="I47" s="2189" t="str">
        <f>S46&amp;".1"</f>
        <v>....1</v>
      </c>
      <c r="J47" s="1379"/>
      <c r="K47" s="1379"/>
      <c r="L47" s="1382" t="s">
        <v>468</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193</v>
      </c>
      <c r="B48" s="1399" t="s">
        <v>194</v>
      </c>
      <c r="C48" s="1399" t="s">
        <v>195</v>
      </c>
      <c r="D48" s="1399" t="s">
        <v>196</v>
      </c>
      <c r="E48" s="2192"/>
      <c r="F48" s="2192"/>
      <c r="G48" s="2192"/>
      <c r="H48" s="2192"/>
      <c r="I48" s="2219"/>
      <c r="J48" s="2189" t="str">
        <f>S46&amp;".1"</f>
        <v>....1</v>
      </c>
      <c r="K48" s="1399"/>
      <c r="L48" s="1400" t="s">
        <v>471</v>
      </c>
      <c r="P48" s="2190"/>
      <c r="Q48" s="2190">
        <v>1</v>
      </c>
      <c r="R48" s="353"/>
      <c r="S48" s="1372" t="str">
        <f>$J48</f>
        <v>....1</v>
      </c>
      <c r="T48" s="274" t="s">
        <v>472</v>
      </c>
      <c r="U48" s="288"/>
      <c r="V48" s="2178"/>
      <c r="W48" s="2179"/>
      <c r="X48" s="2179"/>
      <c r="Y48" s="2179"/>
      <c r="Z48" s="2179"/>
      <c r="AA48" s="2179"/>
      <c r="AB48" s="2179"/>
      <c r="AC48" s="2180"/>
      <c r="AD48" s="2178"/>
      <c r="AE48" s="2179"/>
      <c r="AF48" s="2179"/>
      <c r="AG48" s="2179"/>
      <c r="AH48" s="2179"/>
      <c r="AI48" s="2179"/>
      <c r="AJ48" s="2179"/>
      <c r="AK48" s="2179"/>
      <c r="AL48" s="2180"/>
      <c r="AM48" s="1292" t="s">
        <v>473</v>
      </c>
      <c r="AO48" s="508"/>
      <c r="AP48" s="508" t="str">
        <f>IF(T48="","",T48)</f>
        <v>Группа потребителей</v>
      </c>
      <c r="AQ48" s="508"/>
      <c r="AR48" s="508"/>
    </row>
    <row customHeight="1" ht="21">
      <c r="A49" s="1399" t="s">
        <v>193</v>
      </c>
      <c r="B49" s="1399" t="s">
        <v>194</v>
      </c>
      <c r="C49" s="1399" t="s">
        <v>195</v>
      </c>
      <c r="D49" s="1399" t="s">
        <v>196</v>
      </c>
      <c r="E49" s="2192"/>
      <c r="F49" s="2192"/>
      <c r="G49" s="2192"/>
      <c r="H49" s="2192"/>
      <c r="I49" s="2219"/>
      <c r="J49" s="2219"/>
      <c r="K49" s="2189" t="str">
        <f>J48&amp;".1"</f>
        <v>....1.1</v>
      </c>
      <c r="L49" s="1400" t="s">
        <v>474</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518</v>
      </c>
      <c r="AN49" s="519">
        <f>STRCHECKDATE(V50:AL50)</f>
      </c>
      <c r="AO49" s="508"/>
      <c r="AP49" s="508" t="str">
        <f>IF(T49="","",T49)</f>
        <v/>
      </c>
      <c r="AQ49" s="508"/>
      <c r="AR49" s="508"/>
    </row>
    <row customHeight="1" ht="0">
      <c r="A50" s="1399" t="s">
        <v>193</v>
      </c>
      <c r="B50" s="1399" t="s">
        <v>194</v>
      </c>
      <c r="C50" s="1399" t="s">
        <v>195</v>
      </c>
      <c r="D50" s="1399" t="s">
        <v>196</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193</v>
      </c>
      <c r="B51" s="1399" t="s">
        <v>194</v>
      </c>
      <c r="C51" s="1399" t="s">
        <v>195</v>
      </c>
      <c r="D51" s="1399" t="s">
        <v>196</v>
      </c>
      <c r="E51" s="2192"/>
      <c r="F51" s="2192"/>
      <c r="G51" s="2192"/>
      <c r="H51" s="2192"/>
      <c r="I51" s="2219"/>
      <c r="J51" s="2189"/>
      <c r="K51" s="1399"/>
      <c r="L51" s="1400"/>
      <c r="P51" s="2190"/>
      <c r="Q51" s="2190"/>
      <c r="R51" s="352"/>
      <c r="S51" s="1314"/>
      <c r="T51" s="275" t="s">
        <v>476</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193</v>
      </c>
      <c r="B52" s="1399" t="s">
        <v>194</v>
      </c>
      <c r="C52" s="1399" t="s">
        <v>195</v>
      </c>
      <c r="D52" s="1399" t="s">
        <v>196</v>
      </c>
      <c r="E52" s="2192"/>
      <c r="F52" s="2192"/>
      <c r="G52" s="2192"/>
      <c r="H52" s="2192"/>
      <c r="I52" s="2189"/>
      <c r="J52" s="1399"/>
      <c r="K52" s="1399"/>
      <c r="L52" s="1400"/>
      <c r="P52" s="2190"/>
      <c r="Q52" s="1367"/>
      <c r="R52" s="352"/>
      <c r="S52" s="1314"/>
      <c r="T52" s="364" t="s">
        <v>477</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193</v>
      </c>
      <c r="B53" s="1399" t="s">
        <v>194</v>
      </c>
      <c r="C53" s="1399" t="s">
        <v>195</v>
      </c>
      <c r="D53" s="1399" t="s">
        <v>196</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599" customFormat="1" customHeight="1" ht="0">
      <c r="A54" s="1379" t="s">
        <v>193</v>
      </c>
      <c r="B54" s="1379" t="s">
        <v>194</v>
      </c>
      <c r="C54" s="1379" t="s">
        <v>195</v>
      </c>
      <c r="D54" s="1350"/>
      <c r="E54" s="2192"/>
      <c r="F54" s="2192"/>
      <c r="G54" s="2191"/>
      <c r="H54" s="1350"/>
      <c r="I54" s="1350"/>
      <c r="J54" s="1350"/>
      <c r="K54" s="1350"/>
      <c r="L54" s="1375"/>
      <c r="M54" s="1351"/>
      <c r="N54" s="1351"/>
      <c r="P54" s="1352"/>
      <c r="Q54" s="1353"/>
      <c r="R54" s="1352"/>
      <c r="S54" s="1358"/>
      <c r="T54" s="1361" t="s">
        <v>435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9" customFormat="1" customHeight="1" ht="0">
      <c r="A55" s="1379" t="s">
        <v>193</v>
      </c>
      <c r="B55" s="1379" t="s">
        <v>194</v>
      </c>
      <c r="C55" s="1350"/>
      <c r="D55" s="1350"/>
      <c r="E55" s="2192"/>
      <c r="F55" s="2191"/>
      <c r="G55" s="1350"/>
      <c r="H55" s="1350"/>
      <c r="I55" s="1350"/>
      <c r="J55" s="1350"/>
      <c r="K55" s="1350"/>
      <c r="L55" s="1375"/>
      <c r="M55" s="1357"/>
      <c r="N55" s="1357"/>
      <c r="P55" s="1352"/>
      <c r="Q55" s="1353"/>
      <c r="R55" s="1352"/>
      <c r="S55" s="1358"/>
      <c r="T55" s="1361" t="s">
        <v>436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
      <c r="A56" s="1379" t="s">
        <v>193</v>
      </c>
      <c r="B56" s="1379"/>
      <c r="C56" s="1379"/>
      <c r="D56" s="1379"/>
      <c r="E56" s="2191"/>
      <c r="F56" s="1379"/>
      <c r="G56" s="1379"/>
      <c r="H56" s="1379"/>
      <c r="I56" s="1379"/>
      <c r="J56" s="1379"/>
      <c r="K56" s="1379"/>
      <c r="L56" s="1382"/>
      <c r="M56" s="1357"/>
      <c r="N56" s="1357"/>
      <c r="O56" s="526"/>
      <c r="P56" s="385"/>
      <c r="Q56" s="1380"/>
      <c r="R56" s="385"/>
      <c r="S56" s="1358"/>
      <c r="T56" s="1361" t="s">
        <v>437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9"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438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14.25" hidden="1">
      <c r="O59" s="545"/>
      <c r="S59" s="1279" t="s">
        <v>510</v>
      </c>
      <c r="T59" s="2218" t="s">
        <v>519</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hidden="1">
      <c r="O60" s="545"/>
      <c r="T60" s="2218" t="s">
        <v>520</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c r="T61" s="2218" t="s">
        <v>521</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510</v>
      </c>
      <c r="T63" s="2230" t="s">
        <v>513</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522</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523</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97177-E912-21D8-0226-BA84E29FAAE7}" mc:Ignorable="x14ac xr xr2 xr3">
  <sheetPr>
    <tabColor theme="6" tint="0.4"/>
  </sheetPr>
  <dimension ref="A1:AV73"/>
  <sheetViews>
    <sheetView topLeftCell="A1" showGridLines="0" zoomScale="90" workbookViewId="0">
      <selection activeCell="A1" sqref="A1"/>
    </sheetView>
  </sheetViews>
  <sheetFormatPr defaultColWidth="10.57421875" customHeight="1" defaultRowHeight="14.25"/>
  <cols>
    <col min="1" max="1" style="2876" width="10.57421875" hidden="1"/>
    <col min="2" max="2" style="2876" width="11.00390625" hidden="1" customWidth="1"/>
    <col min="3" max="3" style="2876" width="10.57421875" hidden="1"/>
    <col min="4" max="4" style="2876" width="11.8515625" hidden="1" customWidth="1"/>
    <col min="5" max="5" style="2876" width="10.00390625" hidden="1" customWidth="1"/>
    <col min="6" max="6" style="2876" width="8.7109375" hidden="1" customWidth="1"/>
    <col min="7" max="7" style="2876" width="7.57421875" hidden="1" customWidth="1"/>
    <col min="8" max="8" style="2876" width="11.421875" hidden="1" customWidth="1"/>
    <col min="9" max="9" style="2876" width="12.00390625" hidden="1" customWidth="1"/>
    <col min="10" max="10" style="2876" width="9.8515625" hidden="1" customWidth="1"/>
    <col min="11" max="12" style="2876" width="11.421875" hidden="1" customWidth="1"/>
    <col min="13" max="13" style="3748" width="19.140625" hidden="1" customWidth="1"/>
    <col min="14" max="15" style="3638" width="12.28125" hidden="1" customWidth="1"/>
    <col min="16" max="16" style="3638" width="23.421875" hidden="1" customWidth="1"/>
    <col min="17" max="17" style="3638" width="3.7109375" hidden="1" customWidth="1"/>
    <col min="18" max="20" style="3694" width="3.7109375" customWidth="1"/>
    <col min="21" max="21" style="3695" width="12.7109375" customWidth="1"/>
    <col min="22" max="22" style="2876" width="32.00390625" customWidth="1"/>
    <col min="23" max="23" style="2876" width="0.140625" customWidth="1"/>
    <col min="24" max="28" style="2876" width="21.7109375" hidden="1" customWidth="1"/>
    <col min="29" max="29" style="2876" width="11.7109375" hidden="1" customWidth="1"/>
    <col min="30" max="30" style="2876" width="3.7109375" hidden="1" customWidth="1"/>
    <col min="31" max="31" style="2876" width="11.7109375" hidden="1" customWidth="1"/>
    <col min="32" max="32" style="2876" width="8.57421875" hidden="1" customWidth="1"/>
    <col min="33" max="37" style="2876" width="21.7109375" customWidth="1"/>
    <col min="38" max="38" style="2876" width="11.7109375" customWidth="1"/>
    <col min="39" max="39" style="2876" width="3.7109375" customWidth="1"/>
    <col min="40" max="40" style="2876" width="11.7109375" customWidth="1"/>
    <col min="41" max="41" style="2876" width="8.57421875" customWidth="1"/>
    <col min="42" max="42" style="2876" width="4.7109375" customWidth="1"/>
    <col min="43" max="43" style="2876" width="115.7109375" customWidth="1"/>
    <col min="44" max="45" style="2587" width="10.57421875"/>
    <col min="46" max="46" style="2587" width="11.140625" customWidth="1"/>
    <col min="47" max="48" style="2587"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130</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461</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462</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463</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464</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465</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466</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467</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468</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471</v>
      </c>
      <c r="N7" s="517"/>
      <c r="O7" s="323"/>
      <c r="Q7" s="2190"/>
      <c r="R7" s="2190">
        <v>1</v>
      </c>
      <c r="S7" s="526"/>
      <c r="T7" s="353"/>
      <c r="U7" s="1372">
        <f>$J7</f>
      </c>
      <c r="V7" s="274" t="s">
        <v>472</v>
      </c>
      <c r="W7" s="288"/>
      <c r="X7" s="2178"/>
      <c r="Y7" s="2179"/>
      <c r="Z7" s="2179"/>
      <c r="AA7" s="2179"/>
      <c r="AB7" s="2179"/>
      <c r="AC7" s="2074"/>
      <c r="AD7" s="2074"/>
      <c r="AE7" s="2074"/>
      <c r="AF7" s="2233"/>
      <c r="AG7" s="2178"/>
      <c r="AH7" s="2179"/>
      <c r="AI7" s="2179"/>
      <c r="AJ7" s="2179"/>
      <c r="AK7" s="2179"/>
      <c r="AL7" s="2179"/>
      <c r="AM7" s="2179"/>
      <c r="AN7" s="2179"/>
      <c r="AO7" s="2179"/>
      <c r="AP7" s="2180"/>
      <c r="AQ7" s="1292" t="s">
        <v>473</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474</v>
      </c>
      <c r="N8" s="517"/>
      <c r="O8" s="323"/>
      <c r="P8" s="323"/>
      <c r="Q8" s="2190"/>
      <c r="R8" s="2190"/>
      <c r="S8" s="2190">
        <v>1</v>
      </c>
      <c r="T8" s="353"/>
      <c r="U8" s="1372">
        <f>$K8</f>
      </c>
      <c r="V8" s="1383"/>
      <c r="W8" s="288"/>
      <c r="X8" s="760"/>
      <c r="Y8" s="760"/>
      <c r="Z8" s="760"/>
      <c r="AA8" s="760"/>
      <c r="AB8" s="1441"/>
      <c r="AC8" s="2198"/>
      <c r="AD8" s="1946" t="s">
        <v>58</v>
      </c>
      <c r="AE8" s="2198"/>
      <c r="AF8" s="1946" t="s">
        <v>58</v>
      </c>
      <c r="AG8" s="1443"/>
      <c r="AH8" s="760"/>
      <c r="AI8" s="760"/>
      <c r="AJ8" s="760"/>
      <c r="AK8" s="1291"/>
      <c r="AL8" s="2198"/>
      <c r="AM8" s="1946" t="s">
        <v>58</v>
      </c>
      <c r="AN8" s="2198"/>
      <c r="AO8" s="1946" t="s">
        <v>58</v>
      </c>
      <c r="AP8" s="320"/>
      <c r="AQ8" s="1343" t="s">
        <v>524</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525</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526</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476</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477</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599"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435</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599"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436</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599"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437</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58</v>
      </c>
      <c r="AN19" s="2200"/>
      <c r="AO19" s="2201" t="s">
        <v>58</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3159" customFormat="1" customHeight="1" ht="22.5" hidden="1">
      <c r="A24" s="1169"/>
      <c r="B24" s="1169"/>
      <c r="C24" s="1169"/>
      <c r="D24" s="1169"/>
      <c r="E24" s="1169"/>
      <c r="F24" s="1169"/>
      <c r="G24" s="1169"/>
      <c r="H24" s="1169"/>
      <c r="I24" s="1169"/>
      <c r="J24" s="1169"/>
      <c r="K24" s="1169"/>
      <c r="L24" s="1169"/>
      <c r="M24" s="1363"/>
      <c r="N24" s="1364"/>
      <c r="O24" s="1364"/>
      <c r="P24" s="1381" t="s">
        <v>479</v>
      </c>
      <c r="Q24" s="1398"/>
      <c r="R24" s="1407"/>
      <c r="S24" s="1407"/>
      <c r="T24" s="1407"/>
      <c r="U24" s="738"/>
      <c r="AC24" s="1403"/>
      <c r="AE24" s="1403"/>
      <c r="AF24" s="1402"/>
      <c r="AL24" s="1403"/>
      <c r="AN24" s="1403"/>
      <c r="AO24" s="1402"/>
      <c r="AR24" s="519"/>
      <c r="AS24" s="519"/>
      <c r="AT24" s="519"/>
      <c r="AU24" s="519"/>
      <c r="AV24" s="519"/>
    </row>
    <row s="3159"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159" customFormat="1" customHeight="1" ht="14.25" hidden="1">
      <c r="A26" s="1169"/>
      <c r="B26" s="1169"/>
      <c r="C26" s="1169"/>
      <c r="D26" s="1169"/>
      <c r="E26" s="1169"/>
      <c r="F26" s="1169"/>
      <c r="G26" s="1169"/>
      <c r="H26" s="1169"/>
      <c r="I26" s="1169"/>
      <c r="J26" s="1169"/>
      <c r="K26" s="1169"/>
      <c r="L26" s="1169"/>
      <c r="M26" s="1363"/>
      <c r="N26" s="1364"/>
      <c r="O26" s="1364"/>
      <c r="P26" s="1346" t="s">
        <v>480</v>
      </c>
      <c r="Q26" s="1398"/>
      <c r="R26" s="1407"/>
      <c r="S26" s="1407"/>
      <c r="T26" s="1407"/>
      <c r="U26" s="738"/>
      <c r="V26" s="1174" t="s">
        <v>481</v>
      </c>
      <c r="AD26" s="172" t="s">
        <v>482</v>
      </c>
      <c r="AF26" s="172" t="s">
        <v>483</v>
      </c>
      <c r="AG26" s="1174" t="s">
        <v>481</v>
      </c>
      <c r="AM26" s="172" t="s">
        <v>484</v>
      </c>
      <c r="AO26" s="172" t="s">
        <v>483</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МУП "Уссурийск-Водоканал"</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hidden="1">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28" customFormat="1" customHeight="1" ht="25.5" hidden="1">
      <c r="A33" s="1273"/>
      <c r="B33" s="1273"/>
      <c r="C33" s="1273"/>
      <c r="D33" s="1273"/>
      <c r="E33" s="1273"/>
      <c r="F33" s="1273"/>
      <c r="G33" s="1273"/>
      <c r="H33" s="1273"/>
      <c r="I33" s="1273"/>
      <c r="J33" s="1273"/>
      <c r="K33" s="1273"/>
      <c r="L33" s="1273"/>
      <c r="M33" s="1416"/>
      <c r="N33" s="1273"/>
      <c r="O33" s="1273"/>
      <c r="P33" s="1273"/>
      <c r="U33" s="2183" t="s">
        <v>39</v>
      </c>
      <c r="V33" s="2183"/>
      <c r="W33" s="1408"/>
      <c r="X33" s="2184" t="str">
        <f>IF(TITLE_NAME_OR_PR_CHANGE="",IF(TITLE_NAME_OR_PR="","",TITLE_NAME_OR_PR),TITLE_NAME_OR_PR_CHANGE)</f>
        <v/>
      </c>
      <c r="Y33" s="2184"/>
      <c r="Z33" s="2184"/>
      <c r="AA33" s="2184"/>
      <c r="AB33" s="2184"/>
      <c r="AC33" s="2184"/>
      <c r="AD33" s="2184"/>
      <c r="AE33" s="2184"/>
      <c r="AF33" s="322"/>
      <c r="AG33" s="2184" t="str">
        <f>IF(TITLE_NAME_OR_PR_CHANGE="",IF(TITLE_NAME_OR_PR="","",TITLE_NAME_OR_PR),TITLE_NAME_OR_PR_CHANGE)</f>
        <v/>
      </c>
      <c r="AH33" s="2184"/>
      <c r="AI33" s="2184"/>
      <c r="AJ33" s="2184"/>
      <c r="AK33" s="2184"/>
      <c r="AL33" s="2184"/>
      <c r="AM33" s="2184"/>
      <c r="AN33" s="2184"/>
      <c r="AO33" s="322"/>
      <c r="AP33" s="322"/>
      <c r="AQ33" s="268"/>
      <c r="AR33" s="368"/>
      <c r="AS33" s="368"/>
      <c r="AT33" s="368"/>
      <c r="AU33" s="368"/>
      <c r="AV33" s="368"/>
    </row>
    <row s="3628" customFormat="1" customHeight="1" ht="18.75" hidden="1">
      <c r="A34" s="1273"/>
      <c r="B34" s="1273"/>
      <c r="C34" s="1273"/>
      <c r="D34" s="1273"/>
      <c r="E34" s="1273"/>
      <c r="F34" s="1273"/>
      <c r="G34" s="1273"/>
      <c r="H34" s="1273"/>
      <c r="I34" s="1273"/>
      <c r="J34" s="1273"/>
      <c r="K34" s="1273"/>
      <c r="L34" s="1273"/>
      <c r="M34" s="1416"/>
      <c r="N34" s="1273"/>
      <c r="O34" s="1273"/>
      <c r="P34" s="1273"/>
      <c r="U34" s="2183" t="s">
        <v>485</v>
      </c>
      <c r="V34" s="2183"/>
      <c r="W34" s="1408"/>
      <c r="X34" s="2197" t="str">
        <f>IF(TITLE_DATE_CHANGE_PERIOD="",IF(TITLE_DATE_PR="","",TITLE_DATE_PR),TITLE_DATE_CHANGE_PERIOD)</f>
        <v/>
      </c>
      <c r="Y34" s="2197"/>
      <c r="Z34" s="2197"/>
      <c r="AA34" s="2197"/>
      <c r="AB34" s="2197"/>
      <c r="AC34" s="2197"/>
      <c r="AD34" s="2197"/>
      <c r="AE34" s="2197"/>
      <c r="AF34" s="322"/>
      <c r="AG34" s="2197" t="str">
        <f>IF(TITLE_DATE_CHANGE_PERIOD="",IF(TITLE_DATE_PR="","",TITLE_DATE_PR),TITLE_DATE_CHANGE_PERIOD)</f>
        <v/>
      </c>
      <c r="AH34" s="2197"/>
      <c r="AI34" s="2197"/>
      <c r="AJ34" s="2197"/>
      <c r="AK34" s="2197"/>
      <c r="AL34" s="2197"/>
      <c r="AM34" s="2197"/>
      <c r="AN34" s="2197"/>
      <c r="AO34" s="322"/>
      <c r="AP34" s="322"/>
      <c r="AQ34" s="268"/>
      <c r="AR34" s="368"/>
      <c r="AS34" s="368"/>
      <c r="AT34" s="368"/>
      <c r="AU34" s="368"/>
      <c r="AV34" s="368"/>
    </row>
    <row s="3628" customFormat="1" customHeight="1" ht="18.75" hidden="1">
      <c r="A35" s="1273"/>
      <c r="B35" s="1273"/>
      <c r="C35" s="1273"/>
      <c r="D35" s="1273"/>
      <c r="E35" s="1273"/>
      <c r="F35" s="1273"/>
      <c r="G35" s="1273"/>
      <c r="H35" s="1273"/>
      <c r="I35" s="1273"/>
      <c r="J35" s="1273"/>
      <c r="K35" s="1273"/>
      <c r="L35" s="1273"/>
      <c r="M35" s="1416"/>
      <c r="N35" s="1273"/>
      <c r="O35" s="1273"/>
      <c r="P35" s="1273"/>
      <c r="U35" s="2183" t="s">
        <v>486</v>
      </c>
      <c r="V35" s="2183"/>
      <c r="W35" s="1408"/>
      <c r="X35" s="2184" t="str">
        <f>IF(TITLE_NUMBER_PR_CHANGE="",IF(TITLE_NUMBER_PR="","",TITLE_NUMBER_PR),TITLE_NUMBER_PR_CHANGE)</f>
        <v/>
      </c>
      <c r="Y35" s="2184"/>
      <c r="Z35" s="2184"/>
      <c r="AA35" s="2184"/>
      <c r="AB35" s="2184"/>
      <c r="AC35" s="2184"/>
      <c r="AD35" s="2184"/>
      <c r="AE35" s="2184"/>
      <c r="AF35" s="322"/>
      <c r="AG35" s="2184" t="str">
        <f>IF(TITLE_NUMBER_PR_CHANGE="",IF(TITLE_NUMBER_PR="","",TITLE_NUMBER_PR),TITLE_NUMBER_PR_CHANGE)</f>
        <v/>
      </c>
      <c r="AH35" s="2184"/>
      <c r="AI35" s="2184"/>
      <c r="AJ35" s="2184"/>
      <c r="AK35" s="2184"/>
      <c r="AL35" s="2184"/>
      <c r="AM35" s="2184"/>
      <c r="AN35" s="2184"/>
      <c r="AO35" s="322"/>
      <c r="AP35" s="322"/>
      <c r="AQ35" s="268"/>
      <c r="AR35" s="368"/>
      <c r="AS35" s="368"/>
      <c r="AT35" s="368"/>
      <c r="AU35" s="368"/>
      <c r="AV35" s="368"/>
    </row>
    <row s="3628" customFormat="1" customHeight="1" ht="18.75" hidden="1">
      <c r="A36" s="1273"/>
      <c r="B36" s="1273"/>
      <c r="C36" s="1273"/>
      <c r="D36" s="1273"/>
      <c r="E36" s="1273"/>
      <c r="F36" s="1273"/>
      <c r="G36" s="1273"/>
      <c r="H36" s="1273"/>
      <c r="I36" s="1273"/>
      <c r="J36" s="1273"/>
      <c r="K36" s="1273"/>
      <c r="L36" s="1273"/>
      <c r="M36" s="1416"/>
      <c r="N36" s="1273"/>
      <c r="O36" s="1273"/>
      <c r="P36" s="1273"/>
      <c r="U36" s="2183" t="s">
        <v>40</v>
      </c>
      <c r="V36" s="2183"/>
      <c r="W36" s="1408"/>
      <c r="X36" s="2184" t="str">
        <f>IF(TITLE_IST_PUB_CHANGE="",IF(TITLE_IST_PUB="","",TITLE_IST_PUB),TITLE_IST_PUB_CHANGE)</f>
        <v/>
      </c>
      <c r="Y36" s="2184"/>
      <c r="Z36" s="2184"/>
      <c r="AA36" s="2184"/>
      <c r="AB36" s="2184"/>
      <c r="AC36" s="2184"/>
      <c r="AD36" s="2184"/>
      <c r="AE36" s="2184"/>
      <c r="AF36" s="322"/>
      <c r="AG36" s="2184" t="str">
        <f>IF(TITLE_IST_PUB_CHANGE="",IF(TITLE_IST_PUB="","",TITLE_IST_PUB),TITLE_IST_PUB_CHANGE)</f>
        <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28" customFormat="1" customHeight="1" ht="18.75" hidden="1">
      <c r="A38" s="1273"/>
      <c r="B38" s="1273"/>
      <c r="C38" s="1273"/>
      <c r="D38" s="1273"/>
      <c r="E38" s="1273"/>
      <c r="F38" s="1273"/>
      <c r="G38" s="1273"/>
      <c r="H38" s="1273"/>
      <c r="I38" s="1273"/>
      <c r="J38" s="1273"/>
      <c r="K38" s="1273"/>
      <c r="L38" s="1273"/>
      <c r="M38" s="1416"/>
      <c r="N38" s="1273"/>
      <c r="O38" s="1273"/>
      <c r="P38" s="1273"/>
      <c r="U38" s="2183" t="s">
        <v>487</v>
      </c>
      <c r="V38" s="2183"/>
      <c r="W38" s="1408"/>
      <c r="X38" s="2197" t="str">
        <f>IF(TITLE_DATE_CHANGE_PERIOD="",IF(TITLE_DATE_PR="","",TITLE_DATE_PR),TITLE_DATE_CHANGE_PERIOD)</f>
        <v/>
      </c>
      <c r="Y38" s="2197"/>
      <c r="Z38" s="2197"/>
      <c r="AA38" s="2197"/>
      <c r="AB38" s="2197"/>
      <c r="AC38" s="2197"/>
      <c r="AD38" s="2197"/>
      <c r="AE38" s="2197"/>
      <c r="AF38" s="322"/>
      <c r="AG38" s="2197" t="str">
        <f>IF(TITLE_DATE_CHANGE_PERIOD="",IF(TITLE_DATE_PR="","",TITLE_DATE_PR),TITLE_DATE_CHANGE_PERIOD)</f>
        <v/>
      </c>
      <c r="AH38" s="2197"/>
      <c r="AI38" s="2197"/>
      <c r="AJ38" s="2197"/>
      <c r="AK38" s="2197"/>
      <c r="AL38" s="2197"/>
      <c r="AM38" s="2197"/>
      <c r="AN38" s="2197"/>
      <c r="AO38" s="322"/>
      <c r="AP38" s="322"/>
      <c r="AQ38" s="268"/>
      <c r="AR38" s="368"/>
      <c r="AS38" s="368"/>
      <c r="AT38" s="368"/>
      <c r="AU38" s="368"/>
      <c r="AV38" s="368"/>
    </row>
    <row s="3628" customFormat="1" customHeight="1" ht="18.75" hidden="1">
      <c r="A39" s="1273"/>
      <c r="B39" s="1273"/>
      <c r="C39" s="1273"/>
      <c r="D39" s="1273"/>
      <c r="E39" s="1273"/>
      <c r="F39" s="1273"/>
      <c r="G39" s="1273"/>
      <c r="H39" s="1273"/>
      <c r="I39" s="1273"/>
      <c r="J39" s="1273"/>
      <c r="K39" s="1273"/>
      <c r="L39" s="1273"/>
      <c r="M39" s="1416"/>
      <c r="N39" s="1273"/>
      <c r="O39" s="1273"/>
      <c r="P39" s="1273"/>
      <c r="U39" s="2183" t="s">
        <v>488</v>
      </c>
      <c r="V39" s="2183"/>
      <c r="W39" s="1408"/>
      <c r="X39" s="2184" t="str">
        <f>IF(TITLE_NUMBER_PR_CHANGE="",IF(TITLE_NUMBER_PR="","",TITLE_NUMBER_PR),TITLE_NUMBER_PR_CHANGE)</f>
        <v/>
      </c>
      <c r="Y39" s="2184"/>
      <c r="Z39" s="2184"/>
      <c r="AA39" s="2184"/>
      <c r="AB39" s="2184"/>
      <c r="AC39" s="2184"/>
      <c r="AD39" s="2184"/>
      <c r="AE39" s="2184"/>
      <c r="AF39" s="322"/>
      <c r="AG39" s="2184" t="str">
        <f>IF(TITLE_NUMBER_PR_CHANGE="",IF(TITLE_NUMBER_PR="","",TITLE_NUMBER_PR),TITLE_NUMBER_PR_CHANGE)</f>
        <v/>
      </c>
      <c r="AH39" s="2184"/>
      <c r="AI39" s="2184"/>
      <c r="AJ39" s="2184"/>
      <c r="AK39" s="2184"/>
      <c r="AL39" s="2184"/>
      <c r="AM39" s="2184"/>
      <c r="AN39" s="2184"/>
      <c r="AO39" s="322"/>
      <c r="AP39" s="322"/>
      <c r="AQ39" s="268"/>
      <c r="AR39" s="368"/>
      <c r="AS39" s="368"/>
      <c r="AT39" s="368"/>
      <c r="AU39" s="368"/>
      <c r="AV39" s="368"/>
    </row>
    <row s="3628"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489</v>
      </c>
      <c r="AG40" s="322"/>
      <c r="AH40" s="322"/>
      <c r="AI40" s="322"/>
      <c r="AJ40" s="322"/>
      <c r="AK40" s="322"/>
      <c r="AL40" s="322"/>
      <c r="AM40" s="322"/>
      <c r="AN40" s="322"/>
      <c r="AO40" s="266" t="s">
        <v>489</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293</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294</v>
      </c>
    </row>
    <row customHeight="1" ht="14.25">
      <c r="R43" s="377"/>
      <c r="S43" s="377"/>
      <c r="T43" s="377"/>
      <c r="U43" s="2206" t="s">
        <v>88</v>
      </c>
      <c r="V43" s="2047" t="s">
        <v>490</v>
      </c>
      <c r="W43" s="289"/>
      <c r="X43" s="2207" t="s">
        <v>491</v>
      </c>
      <c r="Y43" s="2222"/>
      <c r="Z43" s="2222"/>
      <c r="AA43" s="2222"/>
      <c r="AB43" s="2222"/>
      <c r="AC43" s="2208"/>
      <c r="AD43" s="2208"/>
      <c r="AE43" s="2209"/>
      <c r="AF43" s="2210" t="s">
        <v>492</v>
      </c>
      <c r="AG43" s="2207" t="s">
        <v>491</v>
      </c>
      <c r="AH43" s="2222"/>
      <c r="AI43" s="2222"/>
      <c r="AJ43" s="2222"/>
      <c r="AK43" s="2222"/>
      <c r="AL43" s="2208"/>
      <c r="AM43" s="2208"/>
      <c r="AN43" s="2209"/>
      <c r="AO43" s="2210" t="s">
        <v>493</v>
      </c>
      <c r="AP43" s="2213" t="s">
        <v>494</v>
      </c>
      <c r="AQ43" s="1966"/>
    </row>
    <row customHeight="1" ht="33.75">
      <c r="R44" s="377"/>
      <c r="S44" s="377"/>
      <c r="T44" s="377"/>
      <c r="U44" s="2206"/>
      <c r="V44" s="2047"/>
      <c r="W44" s="1044"/>
      <c r="X44" s="2225" t="s">
        <v>527</v>
      </c>
      <c r="Y44" s="2237" t="s">
        <v>528</v>
      </c>
      <c r="Z44" s="2237"/>
      <c r="AA44" s="2237"/>
      <c r="AB44" s="2237"/>
      <c r="AC44" s="2225" t="s">
        <v>498</v>
      </c>
      <c r="AD44" s="2238"/>
      <c r="AE44" s="2239"/>
      <c r="AF44" s="2211"/>
      <c r="AG44" s="2225" t="s">
        <v>527</v>
      </c>
      <c r="AH44" s="2237" t="s">
        <v>528</v>
      </c>
      <c r="AI44" s="2237"/>
      <c r="AJ44" s="2237"/>
      <c r="AK44" s="2237"/>
      <c r="AL44" s="2225" t="s">
        <v>498</v>
      </c>
      <c r="AM44" s="2238"/>
      <c r="AN44" s="2239"/>
      <c r="AO44" s="2211"/>
      <c r="AP44" s="2214"/>
      <c r="AQ44" s="1966"/>
    </row>
    <row customHeight="1" ht="14.25">
      <c r="R45" s="377"/>
      <c r="S45" s="377"/>
      <c r="T45" s="377"/>
      <c r="U45" s="2206"/>
      <c r="V45" s="2047"/>
      <c r="W45" s="1044"/>
      <c r="X45" s="2250"/>
      <c r="Y45" s="2242" t="s">
        <v>529</v>
      </c>
      <c r="Z45" s="2203" t="s">
        <v>530</v>
      </c>
      <c r="AA45" s="2245"/>
      <c r="AB45" s="2204"/>
      <c r="AC45" s="2226"/>
      <c r="AD45" s="2240"/>
      <c r="AE45" s="2241"/>
      <c r="AF45" s="2211"/>
      <c r="AG45" s="2250"/>
      <c r="AH45" s="2242" t="s">
        <v>529</v>
      </c>
      <c r="AI45" s="2203" t="s">
        <v>530</v>
      </c>
      <c r="AJ45" s="2245"/>
      <c r="AK45" s="2204"/>
      <c r="AL45" s="2226"/>
      <c r="AM45" s="2240"/>
      <c r="AN45" s="2241"/>
      <c r="AO45" s="2211"/>
      <c r="AP45" s="2214"/>
      <c r="AQ45" s="1966"/>
    </row>
    <row customHeight="1" ht="25.5">
      <c r="R46" s="377"/>
      <c r="S46" s="377"/>
      <c r="T46" s="377"/>
      <c r="U46" s="2206"/>
      <c r="V46" s="2047"/>
      <c r="W46" s="1044"/>
      <c r="X46" s="2250"/>
      <c r="Y46" s="2243"/>
      <c r="Z46" s="2242" t="s">
        <v>531</v>
      </c>
      <c r="AA46" s="2203" t="s">
        <v>532</v>
      </c>
      <c r="AB46" s="2204"/>
      <c r="AC46" s="2242" t="s">
        <v>508</v>
      </c>
      <c r="AD46" s="2246" t="s">
        <v>509</v>
      </c>
      <c r="AE46" s="2247"/>
      <c r="AF46" s="2211"/>
      <c r="AG46" s="2250"/>
      <c r="AH46" s="2243"/>
      <c r="AI46" s="2242" t="s">
        <v>531</v>
      </c>
      <c r="AJ46" s="2203" t="s">
        <v>532</v>
      </c>
      <c r="AK46" s="2204"/>
      <c r="AL46" s="2242" t="s">
        <v>508</v>
      </c>
      <c r="AM46" s="2246" t="s">
        <v>509</v>
      </c>
      <c r="AN46" s="2247"/>
      <c r="AO46" s="2211"/>
      <c r="AP46" s="2214"/>
      <c r="AQ46" s="1966"/>
    </row>
    <row customHeight="1" ht="62.25">
      <c r="A47" s="1294"/>
      <c r="B47" s="1294" t="s">
        <v>142</v>
      </c>
      <c r="C47" s="1294" t="s">
        <v>143</v>
      </c>
      <c r="D47" s="1294" t="s">
        <v>144</v>
      </c>
      <c r="E47" s="1346" t="s">
        <v>499</v>
      </c>
      <c r="F47" s="1346" t="s">
        <v>500</v>
      </c>
      <c r="G47" s="1346" t="s">
        <v>501</v>
      </c>
      <c r="H47" s="1346" t="s">
        <v>502</v>
      </c>
      <c r="I47" s="1346" t="s">
        <v>503</v>
      </c>
      <c r="J47" s="1346" t="s">
        <v>504</v>
      </c>
      <c r="K47" s="1346" t="s">
        <v>505</v>
      </c>
      <c r="L47" s="1346" t="s">
        <v>533</v>
      </c>
      <c r="M47" s="1346" t="s">
        <v>480</v>
      </c>
      <c r="R47" s="377"/>
      <c r="S47" s="377"/>
      <c r="T47" s="377"/>
      <c r="U47" s="2206"/>
      <c r="V47" s="2047"/>
      <c r="W47" s="290"/>
      <c r="X47" s="2226"/>
      <c r="Y47" s="2244"/>
      <c r="Z47" s="2244"/>
      <c r="AA47" s="1243" t="s">
        <v>534</v>
      </c>
      <c r="AB47" s="1243" t="s">
        <v>535</v>
      </c>
      <c r="AC47" s="2244"/>
      <c r="AD47" s="2248"/>
      <c r="AE47" s="2249"/>
      <c r="AF47" s="2212"/>
      <c r="AG47" s="2226"/>
      <c r="AH47" s="2244"/>
      <c r="AI47" s="2244"/>
      <c r="AJ47" s="1243" t="s">
        <v>534</v>
      </c>
      <c r="AK47" s="1243" t="s">
        <v>535</v>
      </c>
      <c r="AL47" s="2244"/>
      <c r="AM47" s="2248"/>
      <c r="AN47" s="2249"/>
      <c r="AO47" s="2212"/>
      <c r="AP47" s="2215"/>
      <c r="AQ47" s="1966"/>
    </row>
    <row s="2586"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109</v>
      </c>
      <c r="V48" s="1287" t="s">
        <v>110</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181</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130</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8"/>
      <c r="AT49" s="508" t="str">
        <f>IF(V49="","",V49)</f>
        <v>Наименование тарифа</v>
      </c>
      <c r="AU49" s="508"/>
      <c r="AV49" s="508"/>
    </row>
    <row customHeight="1" ht="21">
      <c r="A50" s="1302" t="s">
        <v>181</v>
      </c>
      <c r="B50" s="1302" t="s">
        <v>182</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462</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463</v>
      </c>
      <c r="AS50" s="508"/>
      <c r="AT50" s="508" t="str">
        <f>IF(V50="","",V50)</f>
        <v>Территория действия тарифа</v>
      </c>
      <c r="AU50" s="508"/>
      <c r="AV50" s="508"/>
    </row>
    <row customHeight="1" ht="22.5">
      <c r="A51" s="1302" t="s">
        <v>181</v>
      </c>
      <c r="B51" s="1302" t="s">
        <v>182</v>
      </c>
      <c r="C51" s="1302" t="s">
        <v>183</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464</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465</v>
      </c>
      <c r="AS51" s="508"/>
      <c r="AT51" s="508" t="str">
        <f>IF(V51="","",V51)</f>
        <v>Наименование системы теплоснабжения </v>
      </c>
      <c r="AU51" s="508"/>
      <c r="AV51" s="508"/>
    </row>
    <row customHeight="1" ht="21">
      <c r="A52" s="1302" t="s">
        <v>181</v>
      </c>
      <c r="B52" s="1302" t="s">
        <v>182</v>
      </c>
      <c r="C52" s="1302" t="s">
        <v>183</v>
      </c>
      <c r="D52" s="1302" t="s">
        <v>184</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466</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467</v>
      </c>
      <c r="AS52" s="508"/>
      <c r="AT52" s="508" t="str">
        <f>IF(V52="","",V52)</f>
        <v>Источник тепловой энергии  </v>
      </c>
      <c r="AU52" s="508"/>
      <c r="AV52" s="508"/>
    </row>
    <row s="2587" customFormat="1" customHeight="1" ht="0">
      <c r="A53" s="1411" t="s">
        <v>181</v>
      </c>
      <c r="B53" s="1411" t="s">
        <v>182</v>
      </c>
      <c r="C53" s="1411" t="s">
        <v>183</v>
      </c>
      <c r="D53" s="1411" t="s">
        <v>184</v>
      </c>
      <c r="E53" s="2232"/>
      <c r="F53" s="2232"/>
      <c r="G53" s="2232"/>
      <c r="H53" s="2236"/>
      <c r="I53" s="1966" t="str">
        <f>U52&amp;".1"</f>
        <v>....1</v>
      </c>
      <c r="J53" s="1411"/>
      <c r="K53" s="1411"/>
      <c r="L53" s="1411"/>
      <c r="M53" s="1417" t="s">
        <v>468</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181</v>
      </c>
      <c r="B54" s="1302" t="s">
        <v>182</v>
      </c>
      <c r="C54" s="1302" t="s">
        <v>183</v>
      </c>
      <c r="D54" s="1302" t="s">
        <v>184</v>
      </c>
      <c r="E54" s="2232"/>
      <c r="F54" s="2232"/>
      <c r="G54" s="2232"/>
      <c r="H54" s="2236"/>
      <c r="I54" s="1940"/>
      <c r="J54" s="1966" t="str">
        <f>I53&amp;".1"</f>
        <v>....1.1</v>
      </c>
      <c r="K54" s="1302"/>
      <c r="L54" s="1302"/>
      <c r="M54" s="1346" t="s">
        <v>471</v>
      </c>
      <c r="Q54" s="2190"/>
      <c r="R54" s="2190">
        <v>1</v>
      </c>
      <c r="S54" s="526"/>
      <c r="T54" s="353"/>
      <c r="U54" s="1372" t="str">
        <f>$J54</f>
        <v>....1.1</v>
      </c>
      <c r="V54" s="274" t="s">
        <v>472</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473</v>
      </c>
      <c r="AS54" s="508"/>
      <c r="AT54" s="508" t="str">
        <f>IF(V54="","",V54)</f>
        <v>Группа потребителей</v>
      </c>
      <c r="AU54" s="508"/>
      <c r="AV54" s="508"/>
    </row>
    <row customHeight="1" ht="21">
      <c r="A55" s="1302" t="s">
        <v>181</v>
      </c>
      <c r="B55" s="1302" t="s">
        <v>182</v>
      </c>
      <c r="C55" s="1302" t="s">
        <v>183</v>
      </c>
      <c r="D55" s="1302" t="s">
        <v>184</v>
      </c>
      <c r="E55" s="2232"/>
      <c r="F55" s="2232"/>
      <c r="G55" s="2232"/>
      <c r="H55" s="2236"/>
      <c r="I55" s="1940"/>
      <c r="J55" s="1940"/>
      <c r="K55" s="1966" t="str">
        <f>J54&amp;".1"</f>
        <v>....1.1.1</v>
      </c>
      <c r="L55" s="125"/>
      <c r="M55" s="1346" t="s">
        <v>474</v>
      </c>
      <c r="Q55" s="2190"/>
      <c r="R55" s="2190"/>
      <c r="S55" s="526">
        <v>1</v>
      </c>
      <c r="T55" s="353"/>
      <c r="U55" s="1372" t="str">
        <f>$K55</f>
        <v>....1.1.1</v>
      </c>
      <c r="V55" s="1383"/>
      <c r="W55" s="288"/>
      <c r="X55" s="760"/>
      <c r="Y55" s="760"/>
      <c r="Z55" s="760"/>
      <c r="AA55" s="760"/>
      <c r="AB55" s="1441"/>
      <c r="AC55" s="2198"/>
      <c r="AD55" s="1946" t="s">
        <v>58</v>
      </c>
      <c r="AE55" s="2198"/>
      <c r="AF55" s="1946" t="s">
        <v>58</v>
      </c>
      <c r="AG55" s="1443"/>
      <c r="AH55" s="760"/>
      <c r="AI55" s="760"/>
      <c r="AJ55" s="760"/>
      <c r="AK55" s="1291"/>
      <c r="AL55" s="2198"/>
      <c r="AM55" s="1946" t="s">
        <v>58</v>
      </c>
      <c r="AN55" s="2198"/>
      <c r="AO55" s="1946" t="s">
        <v>58</v>
      </c>
      <c r="AP55" s="1384"/>
      <c r="AQ55" s="1343" t="s">
        <v>524</v>
      </c>
      <c r="AR55" s="519">
        <f>STRCHECKDATE(X57:AP57)</f>
      </c>
      <c r="AS55" s="508"/>
      <c r="AT55" s="508" t="str">
        <f>IF(V55="","",V55)</f>
        <v/>
      </c>
      <c r="AU55" s="508"/>
      <c r="AV55" s="508"/>
    </row>
    <row customHeight="1" ht="11.25">
      <c r="A56" s="1302" t="s">
        <v>181</v>
      </c>
      <c r="B56" s="1302" t="s">
        <v>182</v>
      </c>
      <c r="C56" s="1302" t="s">
        <v>183</v>
      </c>
      <c r="D56" s="1302" t="s">
        <v>184</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525</v>
      </c>
      <c r="AR56" s="519">
        <f>STRCHECKDATE(X58:AP58)</f>
      </c>
      <c r="AS56" s="508"/>
      <c r="AT56" s="508" t="str">
        <f>IF(V56="","",V56)</f>
        <v/>
      </c>
      <c r="AU56" s="508"/>
      <c r="AV56" s="508"/>
    </row>
    <row customHeight="1" ht="0">
      <c r="A57" s="1302" t="s">
        <v>181</v>
      </c>
      <c r="B57" s="1302" t="s">
        <v>182</v>
      </c>
      <c r="C57" s="1302" t="s">
        <v>183</v>
      </c>
      <c r="D57" s="1302" t="s">
        <v>184</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181</v>
      </c>
      <c r="B58" s="1302" t="s">
        <v>182</v>
      </c>
      <c r="C58" s="1302" t="s">
        <v>183</v>
      </c>
      <c r="D58" s="1302" t="s">
        <v>184</v>
      </c>
      <c r="E58" s="2232"/>
      <c r="F58" s="2232"/>
      <c r="G58" s="2232"/>
      <c r="H58" s="2236"/>
      <c r="I58" s="1940"/>
      <c r="J58" s="1940"/>
      <c r="K58" s="1966"/>
      <c r="L58" s="1302"/>
      <c r="M58" s="1346"/>
      <c r="Q58" s="2190"/>
      <c r="R58" s="2190"/>
      <c r="S58" s="1367"/>
      <c r="T58" s="352"/>
      <c r="U58" s="1314"/>
      <c r="V58" s="276" t="s">
        <v>526</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181</v>
      </c>
      <c r="B59" s="1302" t="s">
        <v>182</v>
      </c>
      <c r="C59" s="1302" t="s">
        <v>183</v>
      </c>
      <c r="D59" s="1302" t="s">
        <v>184</v>
      </c>
      <c r="E59" s="2232"/>
      <c r="F59" s="2232"/>
      <c r="G59" s="2232"/>
      <c r="H59" s="2236"/>
      <c r="I59" s="1940"/>
      <c r="J59" s="1966"/>
      <c r="K59" s="1302"/>
      <c r="L59" s="1302"/>
      <c r="M59" s="1346"/>
      <c r="Q59" s="2190"/>
      <c r="R59" s="2190"/>
      <c r="S59" s="1367"/>
      <c r="T59" s="352"/>
      <c r="U59" s="1314"/>
      <c r="V59" s="275" t="s">
        <v>476</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181</v>
      </c>
      <c r="B60" s="1302" t="s">
        <v>182</v>
      </c>
      <c r="C60" s="1302" t="s">
        <v>183</v>
      </c>
      <c r="D60" s="1302" t="s">
        <v>184</v>
      </c>
      <c r="E60" s="2232"/>
      <c r="F60" s="2232"/>
      <c r="G60" s="2232"/>
      <c r="H60" s="2236"/>
      <c r="I60" s="1966"/>
      <c r="J60" s="1302"/>
      <c r="K60" s="1302"/>
      <c r="L60" s="1302"/>
      <c r="M60" s="1346"/>
      <c r="Q60" s="2190"/>
      <c r="R60" s="1367"/>
      <c r="S60" s="1367"/>
      <c r="T60" s="352"/>
      <c r="U60" s="1314"/>
      <c r="V60" s="364" t="s">
        <v>477</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181</v>
      </c>
      <c r="B61" s="1302" t="s">
        <v>182</v>
      </c>
      <c r="C61" s="1302" t="s">
        <v>183</v>
      </c>
      <c r="D61" s="1302" t="s">
        <v>184</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599" customFormat="1" customHeight="1" ht="0">
      <c r="A62" s="1411" t="s">
        <v>181</v>
      </c>
      <c r="B62" s="1411" t="s">
        <v>182</v>
      </c>
      <c r="C62" s="1411" t="s">
        <v>183</v>
      </c>
      <c r="D62" s="1410"/>
      <c r="E62" s="2232"/>
      <c r="F62" s="2232"/>
      <c r="G62" s="2231"/>
      <c r="H62" s="1410"/>
      <c r="I62" s="1410"/>
      <c r="J62" s="1410"/>
      <c r="K62" s="1410"/>
      <c r="L62" s="1410"/>
      <c r="M62" s="1413"/>
      <c r="N62" s="1414"/>
      <c r="O62" s="1414"/>
      <c r="P62" s="347"/>
      <c r="Q62" s="1352"/>
      <c r="R62" s="1353"/>
      <c r="S62" s="1352"/>
      <c r="T62" s="1352"/>
      <c r="U62" s="1358"/>
      <c r="V62" s="1361" t="s">
        <v>435</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599" customFormat="1" customHeight="1" ht="0">
      <c r="A63" s="1411" t="s">
        <v>181</v>
      </c>
      <c r="B63" s="1411" t="s">
        <v>182</v>
      </c>
      <c r="C63" s="1410"/>
      <c r="D63" s="1410"/>
      <c r="E63" s="2232"/>
      <c r="F63" s="2231"/>
      <c r="G63" s="1410"/>
      <c r="H63" s="1410"/>
      <c r="I63" s="1410"/>
      <c r="J63" s="1410"/>
      <c r="K63" s="1410"/>
      <c r="L63" s="1410"/>
      <c r="M63" s="1413"/>
      <c r="N63" s="1415"/>
      <c r="O63" s="1415"/>
      <c r="P63" s="347"/>
      <c r="Q63" s="1352"/>
      <c r="R63" s="1353"/>
      <c r="S63" s="1352"/>
      <c r="T63" s="1352"/>
      <c r="U63" s="1358"/>
      <c r="V63" s="1361" t="s">
        <v>436</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7" customFormat="1" customHeight="1" ht="0">
      <c r="A64" s="1411" t="s">
        <v>181</v>
      </c>
      <c r="B64" s="1411"/>
      <c r="C64" s="1411"/>
      <c r="D64" s="1411"/>
      <c r="E64" s="2231"/>
      <c r="F64" s="1411"/>
      <c r="G64" s="1411"/>
      <c r="H64" s="1411"/>
      <c r="I64" s="1411"/>
      <c r="J64" s="1411"/>
      <c r="K64" s="1411"/>
      <c r="L64" s="1411"/>
      <c r="M64" s="1417"/>
      <c r="N64" s="1415"/>
      <c r="O64" s="1415"/>
      <c r="P64" s="347"/>
      <c r="Q64" s="385"/>
      <c r="R64" s="1380"/>
      <c r="S64" s="385"/>
      <c r="T64" s="385"/>
      <c r="U64" s="1358"/>
      <c r="V64" s="1361" t="s">
        <v>437</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599"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438</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hidden="1">
      <c r="N66" s="1169"/>
      <c r="O66" s="1169"/>
      <c r="P66" s="517"/>
      <c r="Q66" s="1169"/>
      <c r="R66" s="1169"/>
      <c r="S66" s="1169"/>
      <c r="T66" s="1169"/>
      <c r="U66" s="1169"/>
      <c r="AR66" s="1169"/>
      <c r="AS66" s="1169"/>
      <c r="AT66" s="1169"/>
      <c r="AU66" s="1169"/>
      <c r="AV66" s="1169"/>
    </row>
    <row customHeight="1" ht="33.75" hidden="1">
      <c r="P67" s="517"/>
      <c r="U67" s="1279" t="s">
        <v>510</v>
      </c>
      <c r="V67" s="2218" t="s">
        <v>520</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hidden="1">
      <c r="P68" s="517"/>
      <c r="V68" s="2218" t="s">
        <v>536</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537</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536</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3A4C6-944A-B39B-516E-22DCF07BD7F1}"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159" width="10.57421875" hidden="1"/>
    <col min="2" max="2" style="3159" width="11.00390625" hidden="1" customWidth="1"/>
    <col min="3" max="3" style="3159" width="10.57421875" hidden="1"/>
    <col min="4" max="4" style="3159" width="11.8515625" hidden="1" customWidth="1"/>
    <col min="5" max="5" style="3159" width="10.00390625" hidden="1" customWidth="1"/>
    <col min="6" max="6" style="3159" width="8.7109375" hidden="1" customWidth="1"/>
    <col min="7" max="7" style="3159" width="7.57421875" hidden="1" customWidth="1"/>
    <col min="8" max="8" style="3159" width="11.421875" hidden="1" customWidth="1"/>
    <col min="9" max="9" style="3159" width="12.00390625" hidden="1" customWidth="1"/>
    <col min="10" max="10" style="3159" width="9.8515625" hidden="1" customWidth="1"/>
    <col min="11" max="11" style="3159" width="11.421875" hidden="1" customWidth="1"/>
    <col min="12" max="12" style="3618" width="19.140625" hidden="1" customWidth="1"/>
    <col min="13" max="14" style="3619" width="12.28125" hidden="1" customWidth="1"/>
    <col min="15" max="15" style="3619" width="23.421875" hidden="1" customWidth="1"/>
    <col min="16" max="16" style="3619" width="3.7109375" hidden="1" customWidth="1"/>
    <col min="17" max="17" style="3621" width="3.7109375" hidden="1" customWidth="1"/>
    <col min="18" max="18" style="3694" width="3.7109375" customWidth="1"/>
    <col min="19" max="19" style="3695" width="12.7109375" customWidth="1"/>
    <col min="20" max="20" style="2876" width="32.00390625" customWidth="1"/>
    <col min="21" max="21" style="2876" width="0.140625" customWidth="1"/>
    <col min="22" max="23" style="2876" width="21.7109375" hidden="1" customWidth="1"/>
    <col min="24" max="24" style="2876" width="11.7109375" hidden="1" customWidth="1"/>
    <col min="25" max="25" style="2876" width="3.7109375" hidden="1" customWidth="1"/>
    <col min="26" max="26" style="2876" width="11.7109375" hidden="1" customWidth="1"/>
    <col min="27" max="27" style="2876" width="8.57421875" hidden="1" customWidth="1"/>
    <col min="28" max="28" style="2876" width="5.421875" customWidth="1"/>
    <col min="29" max="30" style="2876" width="3.7109375" customWidth="1"/>
    <col min="31" max="31" style="2876" width="24.7109375" customWidth="1"/>
    <col min="32" max="34" style="2876" width="3.7109375" customWidth="1"/>
    <col min="35" max="35" style="2876" width="24.7109375" customWidth="1"/>
    <col min="36" max="38" style="2876" width="3.7109375" customWidth="1"/>
    <col min="39" max="39" style="2876" width="18.8515625" customWidth="1"/>
    <col min="40" max="41" style="2876" width="21.7109375" customWidth="1"/>
    <col min="42" max="42" style="2876" width="11.7109375" customWidth="1"/>
    <col min="43" max="43" style="2876" width="3.7109375" customWidth="1"/>
    <col min="44" max="44" style="2876" width="11.7109375" customWidth="1"/>
    <col min="45" max="45" style="2876" width="8.57421875" customWidth="1"/>
    <col min="46" max="46" style="2876" width="4.7109375" customWidth="1"/>
    <col min="47" max="47" style="2876" width="115.7109375" customWidth="1"/>
    <col min="48" max="49" style="2587" width="10.57421875"/>
    <col min="50" max="50" style="2587" width="11.140625" customWidth="1"/>
    <col min="51" max="52" style="2587"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130</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461</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462</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463</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464</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465</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466</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467</v>
      </c>
      <c r="AW5" s="508"/>
      <c r="AX5" s="508" t="str">
        <f>IF(T5="","",T5)</f>
        <v>Источник тепловой энергии  </v>
      </c>
      <c r="AY5" s="508"/>
      <c r="AZ5" s="508"/>
    </row>
    <row s="2587" customFormat="1" customHeight="1" ht="14.25" hidden="1">
      <c r="A6" s="1379"/>
      <c r="B6" s="1379"/>
      <c r="C6" s="1379"/>
      <c r="D6" s="1379"/>
      <c r="E6" s="2192"/>
      <c r="F6" s="2192"/>
      <c r="G6" s="2192"/>
      <c r="H6" s="2192"/>
      <c r="I6" s="2189">
        <f>S5&amp;".1"</f>
      </c>
      <c r="J6" s="1379"/>
      <c r="K6" s="1379"/>
      <c r="L6" s="1382" t="s">
        <v>468</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7"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58</v>
      </c>
      <c r="Z8" s="2198"/>
      <c r="AA8" s="1946" t="s">
        <v>58</v>
      </c>
      <c r="AB8" s="1946" t="s">
        <v>56</v>
      </c>
      <c r="AC8" s="2251"/>
      <c r="AD8" s="2042">
        <v>1</v>
      </c>
      <c r="AE8" s="2252"/>
      <c r="AF8" s="1946" t="s">
        <v>56</v>
      </c>
      <c r="AG8" s="2251"/>
      <c r="AH8" s="2042">
        <v>1</v>
      </c>
      <c r="AI8" s="2252"/>
      <c r="AJ8" s="1946" t="s">
        <v>56</v>
      </c>
      <c r="AK8" s="301"/>
      <c r="AL8" s="1373">
        <v>1</v>
      </c>
      <c r="AM8" s="1434"/>
      <c r="AN8" s="760"/>
      <c r="AO8" s="1291"/>
      <c r="AP8" s="1780"/>
      <c r="AQ8" s="1495" t="s">
        <v>58</v>
      </c>
      <c r="AR8" s="1780"/>
      <c r="AS8" s="1495" t="s">
        <v>58</v>
      </c>
      <c r="AT8" s="1384"/>
      <c r="AU8" s="2186" t="s">
        <v>538</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539</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540</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541</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542</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7"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7"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599"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435</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599"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436</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7"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437</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56</v>
      </c>
      <c r="AC19" s="1537"/>
      <c r="AD19" s="556">
        <v>1</v>
      </c>
      <c r="AE19" s="1538"/>
      <c r="AF19" s="1360" t="s">
        <v>56</v>
      </c>
      <c r="AG19" s="1537"/>
      <c r="AH19" s="556">
        <v>1</v>
      </c>
      <c r="AI19" s="1538"/>
      <c r="AJ19" s="1360" t="s">
        <v>56</v>
      </c>
      <c r="AK19" s="1539"/>
      <c r="AL19" s="556">
        <v>1</v>
      </c>
      <c r="AM19" s="1542"/>
      <c r="AN19" s="1439"/>
      <c r="AO19" s="1440"/>
      <c r="AP19" s="1782"/>
      <c r="AQ19" s="1496" t="s">
        <v>58</v>
      </c>
      <c r="AR19" s="1782"/>
      <c r="AS19" s="1496" t="s">
        <v>58</v>
      </c>
    </row>
    <row customHeight="1" ht="14.25" hidden="1">
      <c r="AV20" s="504"/>
      <c r="AW20" s="504"/>
      <c r="AX20" s="504"/>
      <c r="AY20" s="504"/>
      <c r="AZ20" s="504"/>
    </row>
    <row customHeight="1" ht="14.25" hidden="1">
      <c r="O21" s="1403" t="s">
        <v>479</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07" customFormat="1" customHeight="1" ht="14.25" hidden="1">
      <c r="M23" s="1544"/>
      <c r="N23" s="1544"/>
      <c r="O23" s="1545" t="s">
        <v>480</v>
      </c>
      <c r="P23" s="1544"/>
      <c r="Q23" s="1546"/>
      <c r="R23" s="1546"/>
      <c r="Y23" s="1543" t="s">
        <v>482</v>
      </c>
      <c r="AA23" s="1543" t="s">
        <v>483</v>
      </c>
      <c r="AB23" s="1543" t="s">
        <v>543</v>
      </c>
      <c r="AE23" s="1543" t="s">
        <v>544</v>
      </c>
      <c r="AF23" s="1543" t="s">
        <v>543</v>
      </c>
      <c r="AI23" s="1543" t="s">
        <v>545</v>
      </c>
      <c r="AJ23" s="1543" t="s">
        <v>543</v>
      </c>
      <c r="AM23" s="1543" t="s">
        <v>546</v>
      </c>
      <c r="AQ23" s="1543" t="s">
        <v>482</v>
      </c>
      <c r="AS23" s="1543" t="s">
        <v>483</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МУП "Уссурийск-Водоканал"</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hidden="1">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28" customFormat="1" customHeight="1" ht="25.5" hidden="1">
      <c r="A30" s="1404"/>
      <c r="B30" s="1404"/>
      <c r="C30" s="1404"/>
      <c r="D30" s="1404"/>
      <c r="E30" s="1404"/>
      <c r="F30" s="1404"/>
      <c r="G30" s="1404"/>
      <c r="H30" s="1404"/>
      <c r="I30" s="1404"/>
      <c r="J30" s="1404"/>
      <c r="K30" s="1404"/>
      <c r="L30" s="1405"/>
      <c r="M30" s="1404"/>
      <c r="N30" s="1404"/>
      <c r="O30" s="1404"/>
      <c r="P30" s="1404"/>
      <c r="Q30" s="1404"/>
      <c r="S30" s="2183" t="s">
        <v>39</v>
      </c>
      <c r="T30" s="2183"/>
      <c r="U30" s="1408"/>
      <c r="V30" s="2184"/>
      <c r="W30" s="2184"/>
      <c r="X30" s="2184"/>
      <c r="Y30" s="2184"/>
      <c r="Z30" s="2184"/>
      <c r="AA30" s="322"/>
      <c r="AB30" s="2184" t="str">
        <f>IF(TITLE_NAME_OR_PR_CHANGE="",IF(TITLE_NAME_OR_PR="","",TITLE_NAME_OR_PR),TITLE_NAME_OR_PR_CHANGE)</f>
        <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28" customFormat="1" customHeight="1" ht="18.75" hidden="1">
      <c r="A31" s="1404"/>
      <c r="B31" s="1404"/>
      <c r="C31" s="1404"/>
      <c r="D31" s="1404"/>
      <c r="E31" s="1404"/>
      <c r="F31" s="1404"/>
      <c r="G31" s="1404"/>
      <c r="H31" s="1404"/>
      <c r="I31" s="1404"/>
      <c r="J31" s="1404"/>
      <c r="K31" s="1404"/>
      <c r="L31" s="1405"/>
      <c r="M31" s="1404"/>
      <c r="N31" s="1404"/>
      <c r="O31" s="1404"/>
      <c r="P31" s="1404"/>
      <c r="Q31" s="1404"/>
      <c r="S31" s="2183" t="s">
        <v>485</v>
      </c>
      <c r="T31" s="2183"/>
      <c r="U31" s="1408"/>
      <c r="V31" s="2197"/>
      <c r="W31" s="2197"/>
      <c r="X31" s="2197"/>
      <c r="Y31" s="2197"/>
      <c r="Z31" s="2197"/>
      <c r="AA31" s="322"/>
      <c r="AB31" s="2197" t="str">
        <f>IF(TITLE_DATE_CHANGE_PERIOD="",IF(TITLE_DATE_PR="","",TITLE_DATE_PR),TITLE_DATE_CHANGE_PERIOD)</f>
        <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28"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486</v>
      </c>
      <c r="T32" s="2183"/>
      <c r="U32" s="1408"/>
      <c r="V32" s="2184"/>
      <c r="W32" s="2184"/>
      <c r="X32" s="2184"/>
      <c r="Y32" s="2184"/>
      <c r="Z32" s="2184"/>
      <c r="AA32" s="322"/>
      <c r="AB32" s="2184" t="str">
        <f>IF(TITLE_NUMBER_PR_CHANGE="",IF(TITLE_NUMBER_PR="","",TITLE_NUMBER_PR),TITLE_NUMBER_PR_CHANGE)</f>
        <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28"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40</v>
      </c>
      <c r="T33" s="2183"/>
      <c r="U33" s="1408"/>
      <c r="V33" s="2184"/>
      <c r="W33" s="2184"/>
      <c r="X33" s="2184"/>
      <c r="Y33" s="2184"/>
      <c r="Z33" s="2184"/>
      <c r="AA33" s="322"/>
      <c r="AB33" s="2184" t="str">
        <f>IF(TITLE_IST_PUB_CHANGE="",IF(TITLE_IST_PUB="","",TITLE_IST_PUB),TITLE_IST_PUB_CHANGE)</f>
        <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28"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485</v>
      </c>
      <c r="T35" s="2183"/>
      <c r="U35" s="1408"/>
      <c r="V35" s="2197"/>
      <c r="W35" s="2197"/>
      <c r="X35" s="2197"/>
      <c r="Y35" s="2197"/>
      <c r="Z35" s="2197"/>
      <c r="AA35" s="322"/>
      <c r="AB35" s="2197" t="str">
        <f>IF(TITLE_DATE_CHANGE_PERIOD="",IF(TITLE_DATE_PR="","",TITLE_DATE_PR),TITLE_DATE_CHANGE_PERIOD)</f>
        <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28"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486</v>
      </c>
      <c r="T36" s="2183"/>
      <c r="U36" s="1408"/>
      <c r="V36" s="2184"/>
      <c r="W36" s="2184"/>
      <c r="X36" s="2184"/>
      <c r="Y36" s="2184"/>
      <c r="Z36" s="2184"/>
      <c r="AA36" s="322"/>
      <c r="AB36" s="2184" t="str">
        <f>IF(TITLE_NUMBER_PR_CHANGE="",IF(TITLE_NUMBER_PR="","",TITLE_NUMBER_PR),TITLE_NUMBER_PR_CHANGE)</f>
        <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28"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489</v>
      </c>
      <c r="AB37" s="322"/>
      <c r="AC37" s="322"/>
      <c r="AD37" s="322"/>
      <c r="AE37" s="322"/>
      <c r="AF37" s="322"/>
      <c r="AG37" s="322"/>
      <c r="AH37" s="322"/>
      <c r="AI37" s="322"/>
      <c r="AJ37" s="322"/>
      <c r="AK37" s="322"/>
      <c r="AL37" s="322"/>
      <c r="AM37" s="322"/>
      <c r="AN37" s="322"/>
      <c r="AO37" s="322"/>
      <c r="AP37" s="322"/>
      <c r="AQ37" s="322"/>
      <c r="AR37" s="322"/>
      <c r="AS37" s="266" t="s">
        <v>489</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293</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294</v>
      </c>
    </row>
    <row customHeight="1" ht="14.25">
      <c r="Q40" s="279"/>
      <c r="R40" s="377"/>
      <c r="S40" s="2206" t="s">
        <v>88</v>
      </c>
      <c r="T40" s="2047" t="s">
        <v>547</v>
      </c>
      <c r="U40" s="289"/>
      <c r="V40" s="2208"/>
      <c r="W40" s="2208"/>
      <c r="X40" s="2208"/>
      <c r="Y40" s="2208"/>
      <c r="Z40" s="2209"/>
      <c r="AA40" s="2261" t="s">
        <v>492</v>
      </c>
      <c r="AB40" s="2253" t="s">
        <v>548</v>
      </c>
      <c r="AC40" s="2222"/>
      <c r="AD40" s="2222"/>
      <c r="AE40" s="2254"/>
      <c r="AF40" s="2222" t="s">
        <v>549</v>
      </c>
      <c r="AG40" s="2222"/>
      <c r="AH40" s="2222"/>
      <c r="AI40" s="2254"/>
      <c r="AJ40" s="2253" t="s">
        <v>550</v>
      </c>
      <c r="AK40" s="2222"/>
      <c r="AL40" s="2222"/>
      <c r="AM40" s="2254"/>
      <c r="AN40" s="2253" t="s">
        <v>491</v>
      </c>
      <c r="AO40" s="2222"/>
      <c r="AP40" s="2208"/>
      <c r="AQ40" s="2208"/>
      <c r="AR40" s="2209"/>
      <c r="AS40" s="2210" t="s">
        <v>492</v>
      </c>
      <c r="AT40" s="2213" t="s">
        <v>494</v>
      </c>
      <c r="AU40" s="1966"/>
    </row>
    <row customHeight="1" ht="33.75">
      <c r="Q41" s="279"/>
      <c r="R41" s="377"/>
      <c r="S41" s="2206"/>
      <c r="T41" s="2047"/>
      <c r="U41" s="1044"/>
      <c r="V41" s="2029" t="s">
        <v>551</v>
      </c>
      <c r="W41" s="2030"/>
      <c r="X41" s="2225" t="s">
        <v>498</v>
      </c>
      <c r="Y41" s="2238"/>
      <c r="Z41" s="2239"/>
      <c r="AA41" s="2262"/>
      <c r="AB41" s="2255"/>
      <c r="AC41" s="2256"/>
      <c r="AD41" s="2256"/>
      <c r="AE41" s="2257"/>
      <c r="AF41" s="2256"/>
      <c r="AG41" s="2256"/>
      <c r="AH41" s="2256"/>
      <c r="AI41" s="2257"/>
      <c r="AJ41" s="2255"/>
      <c r="AK41" s="2256"/>
      <c r="AL41" s="2256"/>
      <c r="AM41" s="2256"/>
      <c r="AN41" s="1966" t="s">
        <v>552</v>
      </c>
      <c r="AO41" s="1966"/>
      <c r="AP41" s="2238" t="s">
        <v>498</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2264"/>
      <c r="AO42" s="2264"/>
      <c r="AP42" s="2240"/>
      <c r="AQ42" s="2240"/>
      <c r="AR42" s="2241"/>
      <c r="AS42" s="2211"/>
      <c r="AT42" s="2214"/>
      <c r="AU42" s="1966"/>
    </row>
    <row customHeight="1" ht="14.25">
      <c r="A43" s="1406"/>
      <c r="B43" s="1406" t="s">
        <v>142</v>
      </c>
      <c r="C43" s="1406" t="s">
        <v>143</v>
      </c>
      <c r="D43" s="1406" t="s">
        <v>144</v>
      </c>
      <c r="E43" s="1400" t="s">
        <v>499</v>
      </c>
      <c r="F43" s="1400" t="s">
        <v>500</v>
      </c>
      <c r="G43" s="1400" t="s">
        <v>501</v>
      </c>
      <c r="H43" s="1400" t="s">
        <v>502</v>
      </c>
      <c r="I43" s="1400" t="s">
        <v>503</v>
      </c>
      <c r="J43" s="1400" t="s">
        <v>504</v>
      </c>
      <c r="K43" s="1400" t="s">
        <v>505</v>
      </c>
      <c r="L43" s="1400" t="s">
        <v>480</v>
      </c>
      <c r="Q43" s="279"/>
      <c r="R43" s="377"/>
      <c r="S43" s="2206"/>
      <c r="T43" s="2047"/>
      <c r="U43" s="290"/>
      <c r="V43" s="1366" t="s">
        <v>553</v>
      </c>
      <c r="W43" s="1366" t="s">
        <v>554</v>
      </c>
      <c r="X43" s="1374" t="s">
        <v>508</v>
      </c>
      <c r="Y43" s="2203" t="s">
        <v>509</v>
      </c>
      <c r="Z43" s="2204"/>
      <c r="AA43" s="2263"/>
      <c r="AB43" s="2258"/>
      <c r="AC43" s="2259"/>
      <c r="AD43" s="2259"/>
      <c r="AE43" s="2260"/>
      <c r="AF43" s="2259"/>
      <c r="AG43" s="2259"/>
      <c r="AH43" s="2259"/>
      <c r="AI43" s="2260"/>
      <c r="AJ43" s="2258"/>
      <c r="AK43" s="2259"/>
      <c r="AL43" s="2259"/>
      <c r="AM43" s="2260"/>
      <c r="AN43" s="1915" t="s">
        <v>553</v>
      </c>
      <c r="AO43" s="1915" t="s">
        <v>554</v>
      </c>
      <c r="AP43" s="1374" t="s">
        <v>508</v>
      </c>
      <c r="AQ43" s="2203" t="s">
        <v>509</v>
      </c>
      <c r="AR43" s="2204"/>
      <c r="AS43" s="2212"/>
      <c r="AT43" s="2215"/>
      <c r="AU43" s="1966"/>
    </row>
    <row s="2586"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109</v>
      </c>
      <c r="T44" s="1287" t="s">
        <v>110</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205</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0</v>
      </c>
      <c r="T45" s="286" t="s">
        <v>130</v>
      </c>
      <c r="U45" s="288"/>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8"/>
      <c r="AX45" s="508" t="str">
        <f>IF(T45="","",T45)</f>
        <v>Наименование тарифа</v>
      </c>
      <c r="AY45" s="508"/>
      <c r="AZ45" s="508"/>
    </row>
    <row customHeight="1" ht="21">
      <c r="A46" s="1399" t="s">
        <v>205</v>
      </c>
      <c r="B46" s="1399" t="s">
        <v>206</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v>
      </c>
      <c r="T46" s="298" t="s">
        <v>462</v>
      </c>
      <c r="U46" s="288"/>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292" t="s">
        <v>463</v>
      </c>
      <c r="AW46" s="508"/>
      <c r="AX46" s="508" t="str">
        <f>IF(T46="","",T46)</f>
        <v>Территория действия тарифа</v>
      </c>
      <c r="AY46" s="508"/>
      <c r="AZ46" s="508"/>
    </row>
    <row customHeight="1" ht="23.25">
      <c r="A47" s="1399" t="s">
        <v>205</v>
      </c>
      <c r="B47" s="1399" t="s">
        <v>206</v>
      </c>
      <c r="C47" s="1399" t="s">
        <v>207</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v>
      </c>
      <c r="T47" s="299" t="s">
        <v>464</v>
      </c>
      <c r="U47" s="288"/>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292" t="s">
        <v>465</v>
      </c>
      <c r="AW47" s="508"/>
      <c r="AX47" s="508" t="str">
        <f>IF(T47="","",T47)</f>
        <v>Наименование системы теплоснабжения </v>
      </c>
      <c r="AY47" s="508"/>
      <c r="AZ47" s="508"/>
    </row>
    <row customHeight="1" ht="21">
      <c r="A48" s="1399" t="s">
        <v>205</v>
      </c>
      <c r="B48" s="1399" t="s">
        <v>206</v>
      </c>
      <c r="C48" s="1399" t="s">
        <v>207</v>
      </c>
      <c r="D48" s="1399" t="s">
        <v>208</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v>
      </c>
      <c r="T48" s="300" t="s">
        <v>466</v>
      </c>
      <c r="U48" s="288"/>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292" t="s">
        <v>467</v>
      </c>
      <c r="AW48" s="508"/>
      <c r="AX48" s="508" t="str">
        <f>IF(T48="","",T48)</f>
        <v>Источник тепловой энергии  </v>
      </c>
      <c r="AY48" s="508"/>
      <c r="AZ48" s="508"/>
    </row>
    <row s="2587" customFormat="1" customHeight="1" ht="0">
      <c r="A49" s="1379" t="s">
        <v>205</v>
      </c>
      <c r="B49" s="1379" t="s">
        <v>206</v>
      </c>
      <c r="C49" s="1379" t="s">
        <v>207</v>
      </c>
      <c r="D49" s="1379" t="s">
        <v>208</v>
      </c>
      <c r="E49" s="2192"/>
      <c r="F49" s="2192"/>
      <c r="G49" s="2192"/>
      <c r="H49" s="2192"/>
      <c r="I49" s="2189" t="str">
        <f>S48&amp;".1"</f>
        <v>....1</v>
      </c>
      <c r="J49" s="1379"/>
      <c r="K49" s="1379"/>
      <c r="L49" s="1382" t="s">
        <v>468</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7" customFormat="1" customHeight="1" ht="0">
      <c r="A50" s="1379" t="s">
        <v>205</v>
      </c>
      <c r="B50" s="1379" t="s">
        <v>206</v>
      </c>
      <c r="C50" s="1379" t="s">
        <v>207</v>
      </c>
      <c r="D50" s="1379" t="s">
        <v>208</v>
      </c>
      <c r="E50" s="2192"/>
      <c r="F50" s="2192"/>
      <c r="G50" s="2192"/>
      <c r="H50" s="2192"/>
      <c r="I50" s="2219"/>
      <c r="J50" s="2189" t="str">
        <f>S48&amp;".1"</f>
        <v>....1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205</v>
      </c>
      <c r="B51" s="1399" t="s">
        <v>206</v>
      </c>
      <c r="C51" s="1399" t="s">
        <v>207</v>
      </c>
      <c r="D51" s="1399" t="s">
        <v>208</v>
      </c>
      <c r="E51" s="2192"/>
      <c r="F51" s="2192"/>
      <c r="G51" s="2192"/>
      <c r="H51" s="2192"/>
      <c r="I51" s="2219"/>
      <c r="J51" s="2219"/>
      <c r="K51" s="2189" t="str">
        <f>S48&amp;".1"</f>
        <v>....1</v>
      </c>
      <c r="L51" s="1400"/>
      <c r="P51" s="2190"/>
      <c r="Q51" s="2190"/>
      <c r="R51" s="353">
        <v>1</v>
      </c>
      <c r="S51" s="2265" t="str">
        <f>$K51</f>
        <v>....1</v>
      </c>
      <c r="T51" s="2268"/>
      <c r="U51" s="288"/>
      <c r="V51" s="760"/>
      <c r="W51" s="1291"/>
      <c r="X51" s="1780"/>
      <c r="Y51" s="1495" t="s">
        <v>58</v>
      </c>
      <c r="Z51" s="1780"/>
      <c r="AA51" s="1495" t="s">
        <v>58</v>
      </c>
      <c r="AB51" s="1946" t="s">
        <v>56</v>
      </c>
      <c r="AC51" s="2251"/>
      <c r="AD51" s="2042">
        <v>1</v>
      </c>
      <c r="AE51" s="2272" t="s">
        <v>18</v>
      </c>
      <c r="AF51" s="1946" t="s">
        <v>56</v>
      </c>
      <c r="AG51" s="2251"/>
      <c r="AH51" s="2042">
        <v>1</v>
      </c>
      <c r="AI51" s="2272" t="s">
        <v>18</v>
      </c>
      <c r="AJ51" s="1946" t="s">
        <v>56</v>
      </c>
      <c r="AK51" s="301"/>
      <c r="AL51" s="1373">
        <v>1</v>
      </c>
      <c r="AM51" s="1438"/>
      <c r="AN51" s="760"/>
      <c r="AO51" s="1291"/>
      <c r="AP51" s="1780"/>
      <c r="AQ51" s="1495" t="s">
        <v>58</v>
      </c>
      <c r="AR51" s="1780"/>
      <c r="AS51" s="1495" t="s">
        <v>58</v>
      </c>
      <c r="AT51" s="1384"/>
      <c r="AU51" s="2186" t="s">
        <v>555</v>
      </c>
      <c r="AV51" s="519">
        <f>STRCHECKDATE(V54:AT54)</f>
      </c>
      <c r="AW51" s="508"/>
      <c r="AX51" s="508" t="str">
        <f>IF(T51="","",T51)</f>
        <v/>
      </c>
      <c r="AY51" s="508"/>
      <c r="AZ51" s="508"/>
    </row>
    <row customHeight="1" ht="11.25">
      <c r="A52" s="1399" t="s">
        <v>205</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c r="AF52" s="1946"/>
      <c r="AG52" s="2251"/>
      <c r="AH52" s="2042"/>
      <c r="AI52" s="2272"/>
      <c r="AJ52" s="1946"/>
      <c r="AK52" s="308"/>
      <c r="AL52" s="423"/>
      <c r="AM52" s="422" t="s">
        <v>539</v>
      </c>
      <c r="AN52" s="1429"/>
      <c r="AO52" s="1532"/>
      <c r="AP52" s="1429"/>
      <c r="AQ52" s="1429"/>
      <c r="AR52" s="1429"/>
      <c r="AS52" s="1429"/>
      <c r="AT52" s="1426"/>
      <c r="AU52" s="2187"/>
      <c r="AW52" s="508"/>
      <c r="AX52" s="508"/>
      <c r="AY52" s="508"/>
      <c r="AZ52" s="508"/>
    </row>
    <row customHeight="1" ht="11.25">
      <c r="A53" s="1399" t="s">
        <v>205</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c r="AF53" s="1946"/>
      <c r="AG53" s="282"/>
      <c r="AH53" s="422"/>
      <c r="AI53" s="422" t="s">
        <v>540</v>
      </c>
      <c r="AJ53" s="1429"/>
      <c r="AK53" s="1429"/>
      <c r="AL53" s="1429"/>
      <c r="AM53" s="1429"/>
      <c r="AN53" s="1429"/>
      <c r="AO53" s="1532"/>
      <c r="AP53" s="1429"/>
      <c r="AQ53" s="1429"/>
      <c r="AR53" s="1429"/>
      <c r="AS53" s="1429"/>
      <c r="AT53" s="1426"/>
      <c r="AU53" s="2187"/>
      <c r="AW53" s="508"/>
      <c r="AX53" s="508"/>
      <c r="AY53" s="508"/>
      <c r="AZ53" s="508"/>
    </row>
    <row customHeight="1" ht="11.25">
      <c r="A54" s="1399" t="s">
        <v>205</v>
      </c>
      <c r="B54" s="1399" t="s">
        <v>206</v>
      </c>
      <c r="C54" s="1399" t="s">
        <v>207</v>
      </c>
      <c r="D54" s="1399" t="s">
        <v>208</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541</v>
      </c>
      <c r="AF54" s="1429"/>
      <c r="AG54" s="1429"/>
      <c r="AH54" s="1429"/>
      <c r="AI54" s="1429"/>
      <c r="AJ54" s="1429"/>
      <c r="AK54" s="1429"/>
      <c r="AL54" s="1429"/>
      <c r="AM54" s="1429"/>
      <c r="AN54" s="1429"/>
      <c r="AO54" s="1430" t="str">
        <f>AP51&amp;"-"&amp;AR51</f>
        <v>-</v>
      </c>
      <c r="AP54" s="1429"/>
      <c r="AQ54" s="1429"/>
      <c r="AR54" s="1429"/>
      <c r="AS54" s="1429"/>
      <c r="AT54" s="1385"/>
      <c r="AU54" s="2187"/>
      <c r="AW54" s="508"/>
      <c r="AX54" s="508" t="str">
        <f>IF(T54="","",T54)</f>
        <v/>
      </c>
      <c r="AY54" s="508"/>
      <c r="AZ54" s="508"/>
    </row>
    <row customHeight="1" ht="11.25">
      <c r="A55" s="1399" t="s">
        <v>205</v>
      </c>
      <c r="B55" s="1399" t="s">
        <v>206</v>
      </c>
      <c r="C55" s="1399" t="s">
        <v>207</v>
      </c>
      <c r="D55" s="1399" t="s">
        <v>208</v>
      </c>
      <c r="E55" s="2192"/>
      <c r="F55" s="2192"/>
      <c r="G55" s="2192"/>
      <c r="H55" s="2192"/>
      <c r="I55" s="2219"/>
      <c r="J55" s="2189"/>
      <c r="K55" s="1399"/>
      <c r="L55" s="1400"/>
      <c r="P55" s="2190"/>
      <c r="Q55" s="2190"/>
      <c r="R55" s="352"/>
      <c r="S55" s="1314"/>
      <c r="T55" s="275" t="s">
        <v>542</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7" customFormat="1" customHeight="1" ht="0">
      <c r="A56" s="1379" t="s">
        <v>205</v>
      </c>
      <c r="B56" s="1379" t="s">
        <v>206</v>
      </c>
      <c r="C56" s="1379" t="s">
        <v>207</v>
      </c>
      <c r="D56" s="1379" t="s">
        <v>208</v>
      </c>
      <c r="E56" s="2192"/>
      <c r="F56" s="2192"/>
      <c r="G56" s="2192"/>
      <c r="H56" s="2192"/>
      <c r="I56" s="2189"/>
      <c r="J56" s="1379"/>
      <c r="K56" s="1379"/>
      <c r="L56" s="1382"/>
      <c r="M56" s="518"/>
      <c r="N56" s="518"/>
      <c r="O56" s="518"/>
      <c r="P56" s="2190"/>
      <c r="Q56" s="1367"/>
      <c r="R56" s="352"/>
      <c r="S56" s="1422"/>
      <c r="T56" s="1423" t="s">
        <v>477</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6" customFormat="1" customHeight="1" ht="0">
      <c r="A57" s="1379" t="s">
        <v>205</v>
      </c>
      <c r="B57" s="1379" t="s">
        <v>206</v>
      </c>
      <c r="C57" s="1379" t="s">
        <v>207</v>
      </c>
      <c r="D57" s="1379" t="s">
        <v>208</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599" customFormat="1" customHeight="1" ht="0">
      <c r="A58" s="1379" t="s">
        <v>205</v>
      </c>
      <c r="B58" s="1379" t="s">
        <v>206</v>
      </c>
      <c r="C58" s="1379" t="s">
        <v>207</v>
      </c>
      <c r="D58" s="1350"/>
      <c r="E58" s="2192"/>
      <c r="F58" s="2192"/>
      <c r="G58" s="2191"/>
      <c r="H58" s="1350"/>
      <c r="I58" s="1350"/>
      <c r="J58" s="1350"/>
      <c r="K58" s="1350"/>
      <c r="L58" s="1375"/>
      <c r="M58" s="1351"/>
      <c r="N58" s="1351"/>
      <c r="P58" s="1352"/>
      <c r="Q58" s="1353"/>
      <c r="R58" s="1352"/>
      <c r="S58" s="1358"/>
      <c r="T58" s="1361" t="s">
        <v>435</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599" customFormat="1" customHeight="1" ht="0">
      <c r="A59" s="1379" t="s">
        <v>205</v>
      </c>
      <c r="B59" s="1379" t="s">
        <v>206</v>
      </c>
      <c r="C59" s="1350"/>
      <c r="D59" s="1350"/>
      <c r="E59" s="2192"/>
      <c r="F59" s="2191"/>
      <c r="G59" s="1350"/>
      <c r="H59" s="1350"/>
      <c r="I59" s="1350"/>
      <c r="J59" s="1350"/>
      <c r="K59" s="1350"/>
      <c r="L59" s="1375"/>
      <c r="M59" s="1357"/>
      <c r="N59" s="1357"/>
      <c r="P59" s="1352"/>
      <c r="Q59" s="1353"/>
      <c r="R59" s="1352"/>
      <c r="S59" s="1358"/>
      <c r="T59" s="1361" t="s">
        <v>436</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7" customFormat="1" customHeight="1" ht="0">
      <c r="A60" s="1379" t="s">
        <v>205</v>
      </c>
      <c r="B60" s="1379"/>
      <c r="C60" s="1379"/>
      <c r="D60" s="1379"/>
      <c r="E60" s="2192"/>
      <c r="F60" s="1379"/>
      <c r="G60" s="1379"/>
      <c r="H60" s="1379"/>
      <c r="I60" s="1379"/>
      <c r="J60" s="1379"/>
      <c r="K60" s="1379"/>
      <c r="L60" s="1382"/>
      <c r="M60" s="1357"/>
      <c r="N60" s="1357"/>
      <c r="O60" s="526"/>
      <c r="P60" s="385"/>
      <c r="Q60" s="1380"/>
      <c r="R60" s="385"/>
      <c r="S60" s="1358"/>
      <c r="T60" s="1361" t="s">
        <v>437</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7" customFormat="1" customHeight="1" ht="0">
      <c r="A61" s="1379" t="s">
        <v>205</v>
      </c>
      <c r="B61" s="1379"/>
      <c r="C61" s="1379"/>
      <c r="D61" s="1379"/>
      <c r="E61" s="2191"/>
      <c r="F61" s="1379"/>
      <c r="G61" s="1379"/>
      <c r="H61" s="1379"/>
      <c r="I61" s="1379"/>
      <c r="J61" s="1379"/>
      <c r="K61" s="1379"/>
      <c r="L61" s="1382"/>
      <c r="M61" s="1357"/>
      <c r="N61" s="1357"/>
      <c r="O61" s="526"/>
      <c r="P61" s="385"/>
      <c r="Q61" s="1380"/>
      <c r="R61" s="385"/>
      <c r="S61" s="1358"/>
      <c r="T61" s="1361" t="s">
        <v>437</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599"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438</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hidden="1">
      <c r="M63" s="1174"/>
      <c r="N63" s="1174"/>
      <c r="O63" s="545"/>
      <c r="P63" s="1174"/>
      <c r="Q63" s="1174"/>
      <c r="R63" s="1169"/>
      <c r="S63" s="1169"/>
      <c r="AV63" s="1169"/>
      <c r="AW63" s="1169"/>
      <c r="AX63" s="1169"/>
      <c r="AY63" s="1169"/>
      <c r="AZ63" s="1169"/>
    </row>
    <row customHeight="1" ht="18.75" hidden="1">
      <c r="O64" s="545"/>
      <c r="S64" s="1279" t="s">
        <v>510</v>
      </c>
      <c r="T64" s="2218" t="s">
        <v>556</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hidden="1">
      <c r="O65" s="545"/>
      <c r="T65" s="2218" t="s">
        <v>536</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557</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536</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9F7921D-A9D8-407A-8591-7879489F0CA7}"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26" width="32.57421875" customWidth="1"/>
    <col min="2" max="2" style="3927" width="11.00390625" customWidth="1"/>
    <col min="3" max="3" style="3927" width="9.140625"/>
    <col min="4" max="4" style="3927" width="26.57421875" customWidth="1"/>
    <col min="5" max="5" style="3842" width="27.7109375" customWidth="1"/>
    <col min="6" max="6" style="3842" width="23.57421875" customWidth="1"/>
    <col min="7" max="7" style="3842" width="31.421875" customWidth="1"/>
    <col min="8" max="8" style="3842" width="40.8515625" customWidth="1"/>
    <col min="9" max="9" style="3842" width="14.57421875" customWidth="1"/>
    <col min="10" max="10" style="3842" width="26.8515625" customWidth="1"/>
    <col min="11" max="11" style="3842" width="50.00390625" customWidth="1"/>
    <col min="12" max="13" style="3842" width="10.7109375" customWidth="1"/>
    <col min="14" max="14" style="3842" width="55.140625" customWidth="1"/>
    <col min="15" max="15" style="3842" width="31.8515625" customWidth="1"/>
    <col min="16" max="16" style="3842" width="23.8515625" customWidth="1"/>
    <col min="17" max="17" style="3842" width="46.57421875" customWidth="1"/>
    <col min="18" max="18" style="3842" width="24.00390625" customWidth="1"/>
    <col min="19" max="19" style="3842" width="20.57421875" customWidth="1"/>
    <col min="20" max="20" style="3842" width="22.00390625" customWidth="1"/>
    <col min="21" max="22" style="3842" width="26.421875" customWidth="1"/>
    <col min="23" max="23" style="3842" width="8.28125" hidden="1" customWidth="1"/>
    <col min="24" max="24" style="3842" width="59.7109375" customWidth="1"/>
    <col min="25" max="25" style="3842" width="49.140625" customWidth="1"/>
    <col min="26" max="26" style="3842" width="11.140625" customWidth="1"/>
    <col min="27" max="30" style="3842" width="29.00390625" customWidth="1"/>
    <col min="31" max="31" style="3842" width="9.140625"/>
    <col min="32" max="32" style="3842" width="34.7109375" customWidth="1"/>
    <col min="33" max="33" style="3842" width="9.140625"/>
    <col min="34" max="35" style="3842" width="34.421875" customWidth="1"/>
    <col min="36" max="36" style="3842" width="9.140625"/>
    <col min="37" max="37" style="3842" width="24.57421875" customWidth="1"/>
    <col min="38" max="38" style="3842" width="9.140625"/>
    <col min="39" max="39" style="3842" width="26.140625" customWidth="1"/>
    <col min="40" max="40" style="3842" width="1.7109375" customWidth="1"/>
    <col min="41" max="41" style="3842" width="9.140625"/>
    <col min="42" max="43" style="3842" width="47.8515625" customWidth="1"/>
    <col min="44" max="44" style="3842" width="1.7109375" customWidth="1"/>
    <col min="45" max="45" style="3842" width="21.421875" customWidth="1"/>
    <col min="46" max="46" style="3842" width="1.7109375" customWidth="1"/>
    <col min="47" max="47" style="3842" width="31.28125" customWidth="1"/>
    <col min="48" max="48" style="3842" width="1.7109375" customWidth="1"/>
    <col min="49" max="50" style="3928" width="9.140625"/>
    <col min="51" max="51" style="3842" width="3.7109375" customWidth="1"/>
    <col min="52" max="52" style="3842" width="55.00390625" customWidth="1"/>
    <col min="53" max="53" style="3842" width="9.140625"/>
    <col min="54" max="54" style="3842" width="35.140625" customWidth="1"/>
    <col min="55" max="55" style="3842" width="9.140625"/>
    <col min="56" max="56" style="3842" width="1.7109375" customWidth="1"/>
    <col min="57" max="57" style="3929" width="12.57421875" customWidth="1"/>
    <col min="58" max="58" style="3929" width="14.28125" customWidth="1"/>
    <col min="59" max="59" style="3842" width="30.7109375" customWidth="1"/>
    <col min="60" max="60" style="3837" width="40.7109375" customWidth="1"/>
    <col min="61" max="61" style="3837" width="15.00390625" customWidth="1"/>
    <col min="62" max="62" style="3837" width="40.7109375" customWidth="1"/>
    <col min="63" max="63" style="3837" width="2.7109375" customWidth="1"/>
    <col min="64" max="64" style="3837" width="44.7109375" customWidth="1"/>
    <col min="65" max="65" style="3837" width="2.7109375" customWidth="1"/>
    <col min="66" max="66" style="3837" width="40.7109375" customWidth="1"/>
    <col min="67" max="68" style="3842" width="9.140625"/>
    <col min="69" max="69" style="3842" width="18.140625" customWidth="1"/>
    <col min="70" max="70" style="3842" width="57.8515625" customWidth="1"/>
    <col min="71" max="71" style="3896" width="1.7109375" customWidth="1"/>
    <col min="72" max="72" style="3842" width="22.57421875" customWidth="1"/>
    <col min="73" max="73" style="3842" width="57.8515625" customWidth="1"/>
    <col min="74" max="74" style="3842" width="1.7109375" customWidth="1"/>
    <col min="75" max="75" style="3842" width="22.57421875" customWidth="1"/>
    <col min="76" max="76" style="3842" width="57.8515625" customWidth="1"/>
    <col min="77" max="77" style="3842" width="1.7109375" customWidth="1"/>
    <col min="78" max="78" style="3842" width="22.57421875" customWidth="1"/>
    <col min="79" max="79" style="3842" width="57.8515625" customWidth="1"/>
    <col min="80" max="81" style="3842" width="9.140625"/>
    <col min="82" max="82" style="3842" width="49.57421875" customWidth="1"/>
  </cols>
  <sheetData>
    <row s="3832" customFormat="1" customHeight="1" ht="11.25">
      <c r="A1" s="1080" t="s">
        <v>558</v>
      </c>
      <c r="B1" s="1080" t="s">
        <v>559</v>
      </c>
      <c r="C1" s="1080" t="s">
        <v>560</v>
      </c>
      <c r="D1" s="1080" t="s">
        <v>561</v>
      </c>
      <c r="E1" s="1080" t="s">
        <v>562</v>
      </c>
      <c r="F1" s="1080" t="s">
        <v>563</v>
      </c>
      <c r="G1" s="1080" t="s">
        <v>564</v>
      </c>
      <c r="H1" s="1080" t="s">
        <v>565</v>
      </c>
      <c r="I1" s="1080" t="s">
        <v>566</v>
      </c>
      <c r="J1" s="1080" t="s">
        <v>567</v>
      </c>
      <c r="K1" s="1080" t="s">
        <v>568</v>
      </c>
      <c r="L1" s="1080"/>
      <c r="M1" s="1080"/>
      <c r="N1" s="1080" t="s">
        <v>569</v>
      </c>
      <c r="O1" s="1080" t="s">
        <v>570</v>
      </c>
      <c r="P1" s="1080" t="s">
        <v>571</v>
      </c>
      <c r="Q1" s="1080" t="s">
        <v>572</v>
      </c>
      <c r="R1" s="1080" t="s">
        <v>573</v>
      </c>
      <c r="S1" s="1080" t="s">
        <v>574</v>
      </c>
      <c r="T1" s="1080" t="s">
        <v>575</v>
      </c>
      <c r="U1" s="1080" t="s">
        <v>576</v>
      </c>
      <c r="V1" s="1080"/>
      <c r="W1" s="807" t="s">
        <v>577</v>
      </c>
      <c r="X1" s="1080" t="s">
        <v>578</v>
      </c>
      <c r="Y1" s="1080" t="s">
        <v>579</v>
      </c>
      <c r="Z1" s="1080"/>
      <c r="AA1" s="1080" t="s">
        <v>580</v>
      </c>
      <c r="AB1" s="1080"/>
      <c r="AC1" s="1080" t="s">
        <v>581</v>
      </c>
      <c r="AD1" s="1080"/>
      <c r="AF1" s="1080" t="s">
        <v>582</v>
      </c>
      <c r="AH1" s="1080" t="s">
        <v>583</v>
      </c>
      <c r="AI1" s="1080" t="s">
        <v>584</v>
      </c>
      <c r="AK1" s="1080" t="s">
        <v>585</v>
      </c>
      <c r="AM1" s="1080" t="s">
        <v>586</v>
      </c>
      <c r="AP1" s="1080" t="s">
        <v>587</v>
      </c>
      <c r="AQ1" s="1080" t="s">
        <v>588</v>
      </c>
      <c r="AS1" s="1080" t="s">
        <v>589</v>
      </c>
      <c r="AU1" s="1080" t="s">
        <v>590</v>
      </c>
      <c r="AW1" s="1080" t="s">
        <v>591</v>
      </c>
      <c r="AX1" s="1080" t="s">
        <v>592</v>
      </c>
      <c r="AZ1" s="1166" t="s">
        <v>593</v>
      </c>
      <c r="BB1" s="1080" t="s">
        <v>594</v>
      </c>
      <c r="BC1" s="1080"/>
      <c r="BE1" s="1080" t="s">
        <v>595</v>
      </c>
      <c r="BF1" s="1080" t="s">
        <v>596</v>
      </c>
      <c r="BH1" s="1082" t="s">
        <v>597</v>
      </c>
      <c r="BI1" s="1083"/>
      <c r="BJ1" s="1084" t="s">
        <v>598</v>
      </c>
      <c r="BK1" s="1083"/>
      <c r="BL1" s="1085" t="s">
        <v>599</v>
      </c>
      <c r="BM1" s="1083"/>
      <c r="BN1" s="1086" t="s">
        <v>600</v>
      </c>
      <c r="BS1" s="1463"/>
    </row>
    <row customHeight="1" ht="11.25">
      <c r="A2" s="1087" t="s">
        <v>601</v>
      </c>
      <c r="B2" s="1088">
        <v>2000</v>
      </c>
      <c r="C2" s="1088">
        <v>2022</v>
      </c>
      <c r="D2" s="1088" t="s">
        <v>58</v>
      </c>
      <c r="E2" s="1089" t="s">
        <v>602</v>
      </c>
      <c r="F2" s="1089" t="s">
        <v>603</v>
      </c>
      <c r="G2" s="1089" t="s">
        <v>604</v>
      </c>
      <c r="H2" s="1090" t="s">
        <v>54</v>
      </c>
      <c r="I2" s="1089" t="s">
        <v>109</v>
      </c>
      <c r="J2" s="1089" t="s">
        <v>605</v>
      </c>
      <c r="K2" s="1091" t="s">
        <v>606</v>
      </c>
      <c r="L2" s="1092" t="s">
        <v>606</v>
      </c>
      <c r="M2" s="1091">
        <v>1</v>
      </c>
      <c r="N2" s="1176" t="s">
        <v>607</v>
      </c>
      <c r="O2" s="1090" t="s">
        <v>608</v>
      </c>
      <c r="P2" s="1093" t="s">
        <v>33</v>
      </c>
      <c r="Q2" s="1094" t="s">
        <v>609</v>
      </c>
      <c r="R2" s="129" t="s">
        <v>610</v>
      </c>
      <c r="S2" s="129" t="s">
        <v>611</v>
      </c>
      <c r="T2" s="1095" t="s">
        <v>612</v>
      </c>
      <c r="U2" s="1092" t="s">
        <v>613</v>
      </c>
      <c r="V2" s="1096">
        <v>1</v>
      </c>
      <c r="W2" s="1097"/>
      <c r="X2" s="1097" t="s">
        <v>614</v>
      </c>
      <c r="Y2" s="1088" t="s">
        <v>615</v>
      </c>
      <c r="Z2" s="1098"/>
      <c r="AA2" s="1088" t="s">
        <v>616</v>
      </c>
      <c r="AB2" s="1099" t="s">
        <v>616</v>
      </c>
      <c r="AC2" s="1088" t="s">
        <v>617</v>
      </c>
      <c r="AD2" s="1099" t="s">
        <v>617</v>
      </c>
      <c r="AF2" s="1090" t="s">
        <v>613</v>
      </c>
      <c r="AH2" s="1089" t="s">
        <v>618</v>
      </c>
      <c r="AI2" s="1089" t="s">
        <v>618</v>
      </c>
      <c r="AK2" s="1089" t="s">
        <v>619</v>
      </c>
      <c r="AM2" s="1089" t="s">
        <v>620</v>
      </c>
      <c r="AP2" s="1100" t="s">
        <v>614</v>
      </c>
      <c r="AQ2" s="1101" t="s">
        <v>614</v>
      </c>
      <c r="AS2" s="1088" t="s">
        <v>621</v>
      </c>
      <c r="AU2" s="1134" t="s">
        <v>622</v>
      </c>
      <c r="AW2" s="1134" t="s">
        <v>623</v>
      </c>
      <c r="AX2" s="1134" t="s">
        <v>623</v>
      </c>
      <c r="AZ2" s="1134" t="s">
        <v>624</v>
      </c>
      <c r="BB2" s="1134" t="s">
        <v>625</v>
      </c>
      <c r="BC2" s="1134" t="s">
        <v>626</v>
      </c>
      <c r="BE2" s="1134">
        <v>2000</v>
      </c>
      <c r="BF2" s="1134" t="s">
        <v>627</v>
      </c>
    </row>
    <row customHeight="1" ht="11.25">
      <c r="A3" s="1087" t="s">
        <v>628</v>
      </c>
      <c r="B3" s="1088">
        <v>2001</v>
      </c>
      <c r="C3" s="1088">
        <v>2023</v>
      </c>
      <c r="D3" s="1088" t="s">
        <v>56</v>
      </c>
      <c r="E3" s="1089" t="s">
        <v>629</v>
      </c>
      <c r="F3" s="1089" t="s">
        <v>630</v>
      </c>
      <c r="G3" s="1089" t="s">
        <v>631</v>
      </c>
      <c r="H3" s="1090" t="s">
        <v>632</v>
      </c>
      <c r="I3" s="1089" t="s">
        <v>110</v>
      </c>
      <c r="J3" s="1089" t="s">
        <v>633</v>
      </c>
      <c r="K3" s="1091" t="s">
        <v>634</v>
      </c>
      <c r="L3" s="1091" t="s">
        <v>634</v>
      </c>
      <c r="M3" s="1091">
        <v>2</v>
      </c>
      <c r="N3" s="1176" t="s">
        <v>635</v>
      </c>
      <c r="O3" s="1090" t="s">
        <v>636</v>
      </c>
      <c r="P3" s="1093" t="s">
        <v>637</v>
      </c>
      <c r="Q3" s="1094" t="s">
        <v>638</v>
      </c>
      <c r="R3" s="129" t="s">
        <v>639</v>
      </c>
      <c r="S3" s="129" t="s">
        <v>640</v>
      </c>
      <c r="T3" s="1095" t="s">
        <v>641</v>
      </c>
      <c r="U3" s="1092" t="s">
        <v>642</v>
      </c>
      <c r="V3" s="1096">
        <v>2</v>
      </c>
      <c r="W3" s="1097"/>
      <c r="X3" s="1097" t="s">
        <v>643</v>
      </c>
      <c r="Y3" s="1088" t="s">
        <v>615</v>
      </c>
      <c r="Z3" s="1098"/>
      <c r="AA3" s="1088" t="s">
        <v>644</v>
      </c>
      <c r="AB3" s="1099" t="s">
        <v>644</v>
      </c>
      <c r="AC3" s="1088" t="s">
        <v>645</v>
      </c>
      <c r="AD3" s="1099" t="s">
        <v>645</v>
      </c>
      <c r="AF3" s="1090" t="s">
        <v>642</v>
      </c>
      <c r="AH3" s="1089" t="s">
        <v>646</v>
      </c>
      <c r="AI3" s="1089" t="s">
        <v>647</v>
      </c>
      <c r="AK3" s="1089" t="s">
        <v>648</v>
      </c>
      <c r="AM3" s="1089" t="s">
        <v>649</v>
      </c>
      <c r="AP3" s="1100" t="s">
        <v>650</v>
      </c>
      <c r="AQ3" s="1101" t="s">
        <v>650</v>
      </c>
      <c r="AS3" s="1088" t="s">
        <v>651</v>
      </c>
      <c r="AU3" s="1134" t="s">
        <v>652</v>
      </c>
      <c r="AW3" s="1134" t="s">
        <v>653</v>
      </c>
      <c r="AX3" s="1134" t="s">
        <v>653</v>
      </c>
      <c r="AZ3" s="1134" t="s">
        <v>654</v>
      </c>
      <c r="BB3" s="1134" t="s">
        <v>655</v>
      </c>
      <c r="BC3" s="1134" t="s">
        <v>626</v>
      </c>
      <c r="BE3" s="1134">
        <v>2001</v>
      </c>
      <c r="BF3" s="1134" t="s">
        <v>656</v>
      </c>
      <c r="BH3" s="1080" t="s">
        <v>657</v>
      </c>
      <c r="BJ3" s="1080" t="s">
        <v>658</v>
      </c>
      <c r="BL3" s="1080" t="s">
        <v>659</v>
      </c>
      <c r="BN3" s="1080" t="s">
        <v>660</v>
      </c>
      <c r="BR3" s="1080" t="s">
        <v>661</v>
      </c>
      <c r="BS3" s="1464"/>
      <c r="BT3" s="1083"/>
      <c r="BU3" s="1080" t="s">
        <v>662</v>
      </c>
      <c r="BV3" s="1083"/>
      <c r="BW3" s="1736"/>
      <c r="BX3" s="1738" t="s">
        <v>663</v>
      </c>
      <c r="CA3" s="1080" t="s">
        <v>664</v>
      </c>
    </row>
    <row customHeight="1" ht="11.25">
      <c r="A4" s="1087" t="s">
        <v>665</v>
      </c>
      <c r="B4" s="1088">
        <v>2002</v>
      </c>
      <c r="C4" s="1088">
        <v>2024</v>
      </c>
      <c r="E4" s="1089" t="s">
        <v>666</v>
      </c>
      <c r="F4" s="1089" t="s">
        <v>667</v>
      </c>
      <c r="H4" s="1090" t="s">
        <v>668</v>
      </c>
      <c r="I4" s="1089" t="s">
        <v>90</v>
      </c>
      <c r="J4" s="1089" t="s">
        <v>669</v>
      </c>
      <c r="K4" s="1091" t="s">
        <v>670</v>
      </c>
      <c r="L4" s="1091" t="s">
        <v>670</v>
      </c>
      <c r="M4" s="1091">
        <v>3</v>
      </c>
      <c r="N4" s="1176" t="s">
        <v>671</v>
      </c>
      <c r="O4" s="1089" t="s">
        <v>672</v>
      </c>
      <c r="Q4" s="1094" t="s">
        <v>673</v>
      </c>
      <c r="R4" s="129" t="s">
        <v>674</v>
      </c>
      <c r="S4" s="129" t="s">
        <v>675</v>
      </c>
      <c r="T4" s="1095" t="s">
        <v>676</v>
      </c>
      <c r="U4" s="1092" t="s">
        <v>677</v>
      </c>
      <c r="V4" s="1096">
        <v>3</v>
      </c>
      <c r="W4" s="1097"/>
      <c r="X4" s="1097" t="s">
        <v>678</v>
      </c>
      <c r="Y4" s="1088" t="s">
        <v>615</v>
      </c>
      <c r="Z4" s="1104"/>
      <c r="AC4" s="1088" t="s">
        <v>679</v>
      </c>
      <c r="AD4" s="1099" t="s">
        <v>679</v>
      </c>
      <c r="AF4" s="1090" t="s">
        <v>677</v>
      </c>
      <c r="AH4" s="1090" t="s">
        <v>680</v>
      </c>
      <c r="AK4" s="1089" t="s">
        <v>681</v>
      </c>
      <c r="AM4" s="1089" t="s">
        <v>682</v>
      </c>
      <c r="AP4" s="1100" t="s">
        <v>643</v>
      </c>
      <c r="AQ4" s="1101" t="s">
        <v>643</v>
      </c>
      <c r="AS4" s="1088" t="s">
        <v>683</v>
      </c>
      <c r="AU4" s="1134" t="s">
        <v>684</v>
      </c>
      <c r="AW4" s="1134" t="s">
        <v>685</v>
      </c>
      <c r="AX4" s="1134" t="s">
        <v>685</v>
      </c>
      <c r="AZ4" s="1134" t="s">
        <v>686</v>
      </c>
      <c r="BB4" s="1134" t="s">
        <v>687</v>
      </c>
      <c r="BC4" s="1134" t="s">
        <v>688</v>
      </c>
      <c r="BE4" s="1134">
        <v>2002</v>
      </c>
      <c r="BF4" s="1134" t="s">
        <v>689</v>
      </c>
      <c r="BH4" s="1081" t="s">
        <v>690</v>
      </c>
      <c r="BJ4" s="1081" t="s">
        <v>690</v>
      </c>
      <c r="BL4" s="1081" t="s">
        <v>690</v>
      </c>
      <c r="BN4" s="1081" t="s">
        <v>690</v>
      </c>
      <c r="BQ4" s="1468" t="s">
        <v>691</v>
      </c>
      <c r="BR4" s="1173" t="s">
        <v>692</v>
      </c>
      <c r="BS4" s="260"/>
      <c r="BT4" s="1468" t="s">
        <v>693</v>
      </c>
      <c r="BU4" s="1173" t="s">
        <v>694</v>
      </c>
      <c r="BV4" s="1083"/>
      <c r="BW4" s="1743" t="s">
        <v>695</v>
      </c>
      <c r="BX4" s="1737" t="s">
        <v>696</v>
      </c>
      <c r="BZ4" s="1468" t="s">
        <v>697</v>
      </c>
      <c r="CA4" s="1173" t="s">
        <v>698</v>
      </c>
    </row>
    <row customHeight="1" ht="11.25">
      <c r="A5" s="1087" t="s">
        <v>699</v>
      </c>
      <c r="B5" s="1088">
        <v>2003</v>
      </c>
      <c r="C5" s="1088">
        <v>2025</v>
      </c>
      <c r="E5" s="1089" t="s">
        <v>700</v>
      </c>
      <c r="F5" s="1089" t="s">
        <v>701</v>
      </c>
      <c r="H5" s="1090" t="s">
        <v>702</v>
      </c>
      <c r="I5" s="1089" t="s">
        <v>91</v>
      </c>
      <c r="K5" s="1091" t="s">
        <v>703</v>
      </c>
      <c r="L5" s="1091" t="s">
        <v>703</v>
      </c>
      <c r="M5" s="1091">
        <v>4</v>
      </c>
      <c r="N5" s="1105" t="s">
        <v>704</v>
      </c>
      <c r="O5" s="1089" t="s">
        <v>705</v>
      </c>
      <c r="Q5" s="1094" t="s">
        <v>706</v>
      </c>
      <c r="R5" s="129" t="s">
        <v>707</v>
      </c>
      <c r="T5" s="1090" t="s">
        <v>708</v>
      </c>
      <c r="U5" s="1092" t="s">
        <v>709</v>
      </c>
      <c r="V5" s="1096">
        <v>4</v>
      </c>
      <c r="W5" s="1097"/>
      <c r="X5" s="1097" t="s">
        <v>173</v>
      </c>
      <c r="Y5" s="1088" t="s">
        <v>710</v>
      </c>
      <c r="Z5" s="1104">
        <v>1</v>
      </c>
      <c r="AF5" s="1090" t="s">
        <v>711</v>
      </c>
      <c r="AH5" s="1089" t="s">
        <v>712</v>
      </c>
      <c r="AK5" s="1089" t="s">
        <v>713</v>
      </c>
      <c r="AM5" s="1089" t="s">
        <v>714</v>
      </c>
      <c r="AP5" s="1100" t="s">
        <v>173</v>
      </c>
      <c r="AQ5" s="1101" t="s">
        <v>173</v>
      </c>
      <c r="AU5" s="1134" t="s">
        <v>715</v>
      </c>
      <c r="AW5" s="1134" t="s">
        <v>716</v>
      </c>
      <c r="AX5" s="1134" t="s">
        <v>716</v>
      </c>
      <c r="AZ5" s="1134" t="s">
        <v>717</v>
      </c>
      <c r="BB5" s="1134" t="s">
        <v>718</v>
      </c>
      <c r="BC5" s="1134" t="s">
        <v>719</v>
      </c>
      <c r="BE5" s="1134">
        <v>2003</v>
      </c>
      <c r="BF5" s="1134" t="s">
        <v>720</v>
      </c>
      <c r="BH5" s="1081" t="s">
        <v>721</v>
      </c>
      <c r="BJ5" s="1081" t="s">
        <v>721</v>
      </c>
      <c r="BL5" s="1081" t="s">
        <v>721</v>
      </c>
      <c r="BN5" s="1081" t="s">
        <v>722</v>
      </c>
      <c r="BQ5" s="1317">
        <v>4213775</v>
      </c>
      <c r="BR5" s="1081" t="s">
        <v>614</v>
      </c>
      <c r="BS5" s="1465"/>
      <c r="BT5" s="1317">
        <v>64236871</v>
      </c>
      <c r="BU5" s="1081" t="s">
        <v>222</v>
      </c>
      <c r="BV5" s="1083"/>
      <c r="BW5" s="1741">
        <v>4213767</v>
      </c>
      <c r="BX5" s="1739" t="s">
        <v>723</v>
      </c>
      <c r="BZ5" s="1317">
        <v>64237509</v>
      </c>
      <c r="CA5" s="1331" t="s">
        <v>724</v>
      </c>
    </row>
    <row customHeight="1" ht="11.25">
      <c r="A6" s="1087" t="s">
        <v>725</v>
      </c>
      <c r="B6" s="1088">
        <v>2004</v>
      </c>
      <c r="C6" s="1088">
        <v>2026</v>
      </c>
      <c r="E6" s="1089" t="s">
        <v>726</v>
      </c>
      <c r="F6" s="1106"/>
      <c r="H6" s="1090" t="s">
        <v>727</v>
      </c>
      <c r="I6" s="1089" t="s">
        <v>111</v>
      </c>
      <c r="J6" s="1080" t="s">
        <v>728</v>
      </c>
      <c r="N6" s="1105" t="s">
        <v>729</v>
      </c>
      <c r="O6" s="1089" t="s">
        <v>730</v>
      </c>
      <c r="R6" s="129" t="s">
        <v>609</v>
      </c>
      <c r="T6" s="1090" t="s">
        <v>731</v>
      </c>
      <c r="U6" s="1092" t="s">
        <v>711</v>
      </c>
      <c r="V6" s="1096">
        <v>5</v>
      </c>
      <c r="W6" s="1097"/>
      <c r="X6" s="1088" t="s">
        <v>179</v>
      </c>
      <c r="Y6" s="1088" t="s">
        <v>732</v>
      </c>
      <c r="Z6" s="1104"/>
      <c r="AA6" s="1107"/>
      <c r="AH6" s="1089" t="s">
        <v>733</v>
      </c>
      <c r="AK6" s="1089" t="s">
        <v>734</v>
      </c>
      <c r="AM6" s="1089" t="s">
        <v>735</v>
      </c>
      <c r="AP6" s="1100" t="s">
        <v>179</v>
      </c>
      <c r="AQ6" s="1101" t="s">
        <v>179</v>
      </c>
      <c r="AU6" s="1134" t="s">
        <v>736</v>
      </c>
      <c r="AW6" s="1134" t="s">
        <v>737</v>
      </c>
      <c r="AX6" s="1134" t="s">
        <v>737</v>
      </c>
      <c r="BB6" s="1134" t="s">
        <v>738</v>
      </c>
      <c r="BC6" s="1134" t="s">
        <v>719</v>
      </c>
      <c r="BE6" s="1134">
        <v>2004</v>
      </c>
      <c r="BF6" s="1134" t="s">
        <v>739</v>
      </c>
      <c r="BH6" s="1081" t="s">
        <v>740</v>
      </c>
      <c r="BJ6" s="1081" t="s">
        <v>741</v>
      </c>
      <c r="BL6" s="1081" t="s">
        <v>741</v>
      </c>
      <c r="BN6" s="1081" t="s">
        <v>742</v>
      </c>
      <c r="BQ6" s="1317">
        <v>4213784</v>
      </c>
      <c r="BR6" s="1331" t="s">
        <v>650</v>
      </c>
      <c r="BS6" s="1466"/>
      <c r="BT6" s="1317">
        <v>64236872</v>
      </c>
      <c r="BU6" s="1081" t="s">
        <v>227</v>
      </c>
      <c r="BV6" s="1083"/>
      <c r="BW6" s="1741">
        <v>4213768</v>
      </c>
      <c r="BX6" s="1739" t="s">
        <v>247</v>
      </c>
      <c r="BZ6" s="1317">
        <v>64237510</v>
      </c>
      <c r="CA6" s="1081" t="s">
        <v>743</v>
      </c>
    </row>
    <row customHeight="1" ht="11.25">
      <c r="A7" s="1087" t="s">
        <v>744</v>
      </c>
      <c r="B7" s="1088">
        <v>2005</v>
      </c>
      <c r="E7" s="1089" t="s">
        <v>745</v>
      </c>
      <c r="F7" s="1106"/>
      <c r="H7" s="1090" t="s">
        <v>746</v>
      </c>
      <c r="I7" s="1089" t="s">
        <v>92</v>
      </c>
      <c r="J7" s="1089" t="s">
        <v>747</v>
      </c>
      <c r="N7" s="1109" t="s">
        <v>748</v>
      </c>
      <c r="O7" s="1089" t="s">
        <v>749</v>
      </c>
      <c r="U7" s="1092" t="s">
        <v>56</v>
      </c>
      <c r="V7" s="370" t="s">
        <v>92</v>
      </c>
      <c r="W7" s="1097"/>
      <c r="X7" s="1088" t="s">
        <v>185</v>
      </c>
      <c r="Y7" s="1088" t="s">
        <v>710</v>
      </c>
      <c r="Z7" s="1104"/>
      <c r="AA7" s="1107"/>
      <c r="AH7" s="1089" t="s">
        <v>750</v>
      </c>
      <c r="AK7" s="1089" t="s">
        <v>751</v>
      </c>
      <c r="AM7" s="1089" t="s">
        <v>752</v>
      </c>
      <c r="AP7" s="1100" t="s">
        <v>185</v>
      </c>
      <c r="AQ7" s="1101" t="s">
        <v>185</v>
      </c>
      <c r="AU7" s="1134" t="s">
        <v>753</v>
      </c>
      <c r="AW7" s="1134" t="s">
        <v>754</v>
      </c>
      <c r="AX7" s="1134" t="s">
        <v>754</v>
      </c>
      <c r="AZ7" s="1080" t="s">
        <v>755</v>
      </c>
      <c r="BB7" s="1134" t="s">
        <v>756</v>
      </c>
      <c r="BC7" s="1134" t="s">
        <v>719</v>
      </c>
      <c r="BE7" s="1134">
        <v>2005</v>
      </c>
      <c r="BF7" s="1134" t="s">
        <v>757</v>
      </c>
      <c r="BH7" s="1081" t="s">
        <v>758</v>
      </c>
      <c r="BJ7" s="1081" t="s">
        <v>740</v>
      </c>
      <c r="BL7" s="1081" t="s">
        <v>740</v>
      </c>
      <c r="BN7" s="1081" t="s">
        <v>759</v>
      </c>
      <c r="BQ7" s="1317">
        <v>4213781</v>
      </c>
      <c r="BR7" s="1081" t="s">
        <v>643</v>
      </c>
      <c r="BS7" s="1465"/>
      <c r="BT7" s="1317">
        <v>64236873</v>
      </c>
      <c r="BU7" s="1081" t="s">
        <v>232</v>
      </c>
      <c r="BV7" s="1083"/>
      <c r="BW7" s="1741">
        <v>4213769</v>
      </c>
      <c r="BX7" s="1739" t="s">
        <v>760</v>
      </c>
      <c r="BZ7" s="1317">
        <v>64237511</v>
      </c>
      <c r="CA7" s="1081" t="s">
        <v>262</v>
      </c>
    </row>
    <row customHeight="1" ht="11.25">
      <c r="A8" s="1087" t="s">
        <v>761</v>
      </c>
      <c r="B8" s="1088">
        <v>2006</v>
      </c>
      <c r="E8" s="1089" t="s">
        <v>762</v>
      </c>
      <c r="F8" s="1106"/>
      <c r="I8" s="1089" t="s">
        <v>93</v>
      </c>
      <c r="J8" s="1089" t="s">
        <v>763</v>
      </c>
      <c r="N8" s="1177" t="s">
        <v>764</v>
      </c>
      <c r="O8" s="1089" t="s">
        <v>765</v>
      </c>
      <c r="V8" s="370" t="s">
        <v>93</v>
      </c>
      <c r="W8" s="1097"/>
      <c r="X8" s="1088" t="s">
        <v>191</v>
      </c>
      <c r="Y8" s="1088" t="s">
        <v>710</v>
      </c>
      <c r="Z8" s="1104"/>
      <c r="AA8" s="1107"/>
      <c r="AK8" s="1089" t="s">
        <v>766</v>
      </c>
      <c r="AP8" s="1100" t="s">
        <v>191</v>
      </c>
      <c r="AQ8" s="1101" t="s">
        <v>191</v>
      </c>
      <c r="AU8" s="1134" t="s">
        <v>767</v>
      </c>
      <c r="AW8" s="1134" t="s">
        <v>768</v>
      </c>
      <c r="AX8" s="1134" t="s">
        <v>768</v>
      </c>
      <c r="AZ8" s="1134" t="s">
        <v>68</v>
      </c>
      <c r="BB8" s="1134" t="s">
        <v>769</v>
      </c>
      <c r="BC8" s="1134" t="s">
        <v>719</v>
      </c>
      <c r="BE8" s="1134">
        <v>2006</v>
      </c>
      <c r="BF8" s="1134" t="s">
        <v>770</v>
      </c>
      <c r="BH8" s="1081" t="s">
        <v>771</v>
      </c>
      <c r="BJ8" s="1081" t="s">
        <v>772</v>
      </c>
      <c r="BL8" s="1081" t="s">
        <v>772</v>
      </c>
      <c r="BN8" s="1081" t="s">
        <v>773</v>
      </c>
      <c r="BQ8" s="1317">
        <v>4213776</v>
      </c>
      <c r="BR8" s="1081" t="s">
        <v>173</v>
      </c>
      <c r="BS8" s="1465"/>
      <c r="BT8" s="1317">
        <v>64236874</v>
      </c>
      <c r="BU8" s="1331" t="s">
        <v>774</v>
      </c>
      <c r="BV8" s="1083"/>
      <c r="BW8" s="1741">
        <v>4213770</v>
      </c>
      <c r="BX8" s="1742" t="s">
        <v>775</v>
      </c>
      <c r="BZ8" s="1317">
        <v>64237512</v>
      </c>
      <c r="CA8" s="1081" t="s">
        <v>257</v>
      </c>
    </row>
    <row customHeight="1" ht="11.25">
      <c r="A9" s="1087" t="s">
        <v>776</v>
      </c>
      <c r="B9" s="1088">
        <v>2007</v>
      </c>
      <c r="E9" s="1089" t="s">
        <v>777</v>
      </c>
      <c r="F9" s="1106"/>
      <c r="G9" s="1080" t="s">
        <v>778</v>
      </c>
      <c r="H9" s="1080" t="s">
        <v>779</v>
      </c>
      <c r="I9" s="1089" t="s">
        <v>112</v>
      </c>
      <c r="O9" s="1089" t="s">
        <v>780</v>
      </c>
      <c r="V9" s="370" t="s">
        <v>112</v>
      </c>
      <c r="W9" s="1097"/>
      <c r="X9" s="1088" t="s">
        <v>197</v>
      </c>
      <c r="Y9" s="1088" t="s">
        <v>615</v>
      </c>
      <c r="Z9" s="1104">
        <v>1</v>
      </c>
      <c r="AA9" s="1107"/>
      <c r="AK9" s="1089" t="s">
        <v>781</v>
      </c>
      <c r="AP9" s="1100" t="s">
        <v>782</v>
      </c>
      <c r="AQ9" s="1101" t="s">
        <v>782</v>
      </c>
      <c r="AW9" s="1134" t="s">
        <v>783</v>
      </c>
      <c r="AX9" s="1134" t="s">
        <v>783</v>
      </c>
      <c r="AZ9" s="1134" t="s">
        <v>784</v>
      </c>
      <c r="BB9" s="1134" t="s">
        <v>785</v>
      </c>
      <c r="BC9" s="1134" t="s">
        <v>719</v>
      </c>
      <c r="BE9" s="1134">
        <v>2007</v>
      </c>
      <c r="BF9" s="1134" t="s">
        <v>786</v>
      </c>
      <c r="BH9" s="1081" t="s">
        <v>787</v>
      </c>
      <c r="BJ9" s="1081" t="s">
        <v>788</v>
      </c>
      <c r="BL9" s="1081" t="s">
        <v>788</v>
      </c>
      <c r="BN9" s="1081" t="s">
        <v>789</v>
      </c>
      <c r="BQ9" s="1317">
        <v>4213777</v>
      </c>
      <c r="BR9" s="1081" t="s">
        <v>179</v>
      </c>
      <c r="BS9" s="1465"/>
      <c r="BT9" s="1317">
        <v>64236875</v>
      </c>
      <c r="BU9" s="1081" t="s">
        <v>237</v>
      </c>
      <c r="BV9" s="1083"/>
      <c r="BW9" s="1736"/>
      <c r="BX9" s="1736"/>
    </row>
    <row customHeight="1" ht="11.25">
      <c r="A10" s="1087" t="s">
        <v>790</v>
      </c>
      <c r="B10" s="1088">
        <v>2008</v>
      </c>
      <c r="E10" s="1089" t="s">
        <v>791</v>
      </c>
      <c r="F10" s="1106"/>
      <c r="G10" s="1089" t="s">
        <v>792</v>
      </c>
      <c r="H10" s="1089" t="s">
        <v>793</v>
      </c>
      <c r="I10" s="1089" t="s">
        <v>155</v>
      </c>
      <c r="J10" s="1080" t="s">
        <v>794</v>
      </c>
      <c r="K10" s="1080" t="s">
        <v>795</v>
      </c>
      <c r="O10" s="1089" t="s">
        <v>796</v>
      </c>
      <c r="V10" s="371" t="s">
        <v>155</v>
      </c>
      <c r="W10" s="1110"/>
      <c r="X10" s="1110" t="s">
        <v>797</v>
      </c>
      <c r="Y10" s="1111" t="s">
        <v>798</v>
      </c>
      <c r="Z10" s="1104"/>
      <c r="AP10" s="1100" t="s">
        <v>797</v>
      </c>
      <c r="AQ10" s="1101" t="s">
        <v>797</v>
      </c>
      <c r="AW10" s="1134" t="s">
        <v>799</v>
      </c>
      <c r="AX10" s="1134" t="s">
        <v>799</v>
      </c>
      <c r="AZ10" s="1134" t="s">
        <v>800</v>
      </c>
      <c r="BB10" s="1134" t="s">
        <v>801</v>
      </c>
      <c r="BC10" s="1134" t="s">
        <v>719</v>
      </c>
      <c r="BE10" s="1134">
        <v>2008</v>
      </c>
      <c r="BF10" s="1134" t="s">
        <v>802</v>
      </c>
      <c r="BH10" s="1081" t="s">
        <v>803</v>
      </c>
      <c r="BJ10" s="1081" t="s">
        <v>804</v>
      </c>
      <c r="BL10" s="1081" t="s">
        <v>804</v>
      </c>
      <c r="BN10" s="1081" t="s">
        <v>805</v>
      </c>
      <c r="BQ10" s="1317">
        <v>4213778</v>
      </c>
      <c r="BR10" s="1081" t="s">
        <v>185</v>
      </c>
      <c r="BS10" s="1465"/>
      <c r="BT10" s="1317">
        <v>64236876</v>
      </c>
      <c r="BU10" s="1081" t="s">
        <v>217</v>
      </c>
      <c r="BV10" s="1083"/>
      <c r="BW10" s="1736"/>
      <c r="BX10" s="1736"/>
    </row>
    <row customHeight="1" ht="11.25">
      <c r="A11" s="1087" t="s">
        <v>806</v>
      </c>
      <c r="B11" s="1088">
        <v>2009</v>
      </c>
      <c r="E11" s="1089" t="s">
        <v>807</v>
      </c>
      <c r="F11" s="1106"/>
      <c r="G11" s="1089" t="s">
        <v>808</v>
      </c>
      <c r="H11" s="1089" t="s">
        <v>809</v>
      </c>
      <c r="I11" s="1089" t="s">
        <v>156</v>
      </c>
      <c r="J11" s="1090" t="s">
        <v>810</v>
      </c>
      <c r="K11" s="1112" t="s">
        <v>811</v>
      </c>
      <c r="O11" s="1090" t="s">
        <v>812</v>
      </c>
      <c r="V11" s="370" t="s">
        <v>156</v>
      </c>
      <c r="W11" s="261"/>
      <c r="X11" s="1097" t="s">
        <v>782</v>
      </c>
      <c r="Y11" s="1088" t="s">
        <v>813</v>
      </c>
      <c r="Z11" s="1104"/>
      <c r="AP11" s="1100" t="s">
        <v>197</v>
      </c>
      <c r="AQ11" s="1102" t="s">
        <v>197</v>
      </c>
      <c r="AW11" s="1134" t="s">
        <v>814</v>
      </c>
      <c r="AX11" s="1134" t="s">
        <v>814</v>
      </c>
      <c r="AZ11" s="1134" t="s">
        <v>815</v>
      </c>
      <c r="BB11" s="1134" t="s">
        <v>816</v>
      </c>
      <c r="BC11" s="1134" t="s">
        <v>719</v>
      </c>
      <c r="BE11" s="1134">
        <v>2009</v>
      </c>
      <c r="BF11" s="1134" t="s">
        <v>817</v>
      </c>
      <c r="BH11" s="1081" t="s">
        <v>818</v>
      </c>
      <c r="BJ11" s="1081" t="s">
        <v>787</v>
      </c>
      <c r="BL11" s="1081" t="s">
        <v>787</v>
      </c>
      <c r="BN11" s="1081" t="s">
        <v>819</v>
      </c>
      <c r="BQ11" s="1317">
        <v>4213780</v>
      </c>
      <c r="BR11" s="1081" t="s">
        <v>191</v>
      </c>
      <c r="BS11" s="1465"/>
      <c r="BW11" s="1736"/>
      <c r="BX11" s="1736"/>
    </row>
    <row customHeight="1" ht="11.25">
      <c r="A12" s="1087" t="s">
        <v>820</v>
      </c>
      <c r="B12" s="1088">
        <v>2010</v>
      </c>
      <c r="E12" s="1089" t="s">
        <v>821</v>
      </c>
      <c r="F12" s="1106"/>
      <c r="G12" s="1089" t="s">
        <v>809</v>
      </c>
      <c r="I12" s="1089" t="s">
        <v>157</v>
      </c>
      <c r="J12" s="1090" t="s">
        <v>822</v>
      </c>
      <c r="K12" s="1112" t="s">
        <v>823</v>
      </c>
      <c r="O12" s="1090" t="s">
        <v>609</v>
      </c>
      <c r="V12" s="370" t="s">
        <v>157</v>
      </c>
      <c r="W12" s="1102"/>
      <c r="X12" s="1097" t="s">
        <v>824</v>
      </c>
      <c r="Y12" s="1088" t="s">
        <v>615</v>
      </c>
      <c r="AP12" s="1100"/>
      <c r="AW12" s="1134" t="s">
        <v>156</v>
      </c>
      <c r="AX12" s="1134" t="s">
        <v>156</v>
      </c>
      <c r="AZ12" s="1134" t="s">
        <v>825</v>
      </c>
      <c r="BB12" s="1134" t="s">
        <v>826</v>
      </c>
      <c r="BC12" s="1134" t="s">
        <v>719</v>
      </c>
      <c r="BE12" s="1134">
        <v>2010</v>
      </c>
      <c r="BF12" s="1134" t="s">
        <v>827</v>
      </c>
      <c r="BH12" s="1081" t="s">
        <v>828</v>
      </c>
      <c r="BJ12" s="1081" t="s">
        <v>829</v>
      </c>
      <c r="BL12" s="1081" t="s">
        <v>829</v>
      </c>
      <c r="BN12" s="1081" t="s">
        <v>830</v>
      </c>
      <c r="BQ12" s="1317">
        <v>4213779</v>
      </c>
      <c r="BR12" s="1081" t="s">
        <v>782</v>
      </c>
      <c r="BS12" s="1465"/>
      <c r="BT12" s="1083"/>
      <c r="BU12" s="1083"/>
      <c r="BV12" s="1083"/>
      <c r="BW12" s="1736"/>
      <c r="BX12" s="1736"/>
    </row>
    <row customHeight="1" ht="11.25">
      <c r="A13" s="1087" t="s">
        <v>831</v>
      </c>
      <c r="B13" s="1088">
        <v>2011</v>
      </c>
      <c r="E13" s="1089" t="s">
        <v>832</v>
      </c>
      <c r="F13" s="1106"/>
      <c r="I13" s="1089" t="s">
        <v>158</v>
      </c>
      <c r="K13" s="1112" t="s">
        <v>781</v>
      </c>
      <c r="V13" s="370" t="s">
        <v>158</v>
      </c>
      <c r="W13" s="1102"/>
      <c r="X13" s="1102"/>
      <c r="Y13" s="1102"/>
      <c r="AW13" s="1134" t="s">
        <v>157</v>
      </c>
      <c r="AX13" s="1134" t="s">
        <v>157</v>
      </c>
      <c r="BB13" s="1134" t="s">
        <v>833</v>
      </c>
      <c r="BC13" s="1134" t="s">
        <v>834</v>
      </c>
      <c r="BE13" s="1134">
        <v>2011</v>
      </c>
      <c r="BF13" s="1134" t="s">
        <v>835</v>
      </c>
      <c r="BH13" s="1081" t="s">
        <v>836</v>
      </c>
      <c r="BJ13" s="1081" t="s">
        <v>818</v>
      </c>
      <c r="BL13" s="1081" t="s">
        <v>818</v>
      </c>
      <c r="BN13" s="1081" t="s">
        <v>837</v>
      </c>
      <c r="BQ13" s="1317">
        <v>4213783</v>
      </c>
      <c r="BR13" s="1081" t="s">
        <v>797</v>
      </c>
      <c r="BS13" s="1465"/>
      <c r="BT13" s="1083"/>
      <c r="BU13" s="1083"/>
      <c r="BV13" s="1083"/>
      <c r="BW13" s="1740"/>
      <c r="BX13" s="1736"/>
    </row>
    <row customHeight="1" ht="11.25">
      <c r="A14" s="1087" t="s">
        <v>838</v>
      </c>
      <c r="B14" s="1088">
        <v>2012</v>
      </c>
      <c r="I14" s="1089" t="s">
        <v>159</v>
      </c>
      <c r="J14" s="1080" t="s">
        <v>839</v>
      </c>
      <c r="N14" s="1080" t="s">
        <v>840</v>
      </c>
      <c r="V14" s="1096">
        <v>13</v>
      </c>
      <c r="W14" s="1097"/>
      <c r="X14" s="1097" t="s">
        <v>650</v>
      </c>
      <c r="Y14" s="1088" t="s">
        <v>615</v>
      </c>
      <c r="AW14" s="1134" t="s">
        <v>158</v>
      </c>
      <c r="AX14" s="1134" t="s">
        <v>158</v>
      </c>
      <c r="AZ14" s="1080" t="s">
        <v>841</v>
      </c>
      <c r="BB14" s="1134" t="s">
        <v>842</v>
      </c>
      <c r="BC14" s="1134" t="s">
        <v>834</v>
      </c>
      <c r="BE14" s="1134">
        <v>2012</v>
      </c>
      <c r="BH14" s="1081" t="s">
        <v>759</v>
      </c>
      <c r="BJ14" s="1235" t="s">
        <v>843</v>
      </c>
      <c r="BL14" s="1235" t="s">
        <v>843</v>
      </c>
      <c r="BN14" s="1081" t="s">
        <v>844</v>
      </c>
      <c r="BQ14" s="1317">
        <v>4213782</v>
      </c>
      <c r="BR14" s="1081" t="s">
        <v>197</v>
      </c>
      <c r="BS14" s="1465"/>
      <c r="BT14" s="1083"/>
      <c r="BU14" s="1083"/>
      <c r="BV14" s="1083"/>
      <c r="BW14" s="1740"/>
      <c r="BX14" s="1736"/>
    </row>
    <row customHeight="1" ht="19.5">
      <c r="A15" s="1087" t="s">
        <v>845</v>
      </c>
      <c r="B15" s="1088">
        <v>2013</v>
      </c>
      <c r="E15" s="1744" t="s">
        <v>846</v>
      </c>
      <c r="G15" s="1080" t="s">
        <v>847</v>
      </c>
      <c r="H15" s="1080" t="s">
        <v>848</v>
      </c>
      <c r="I15" s="1091" t="s">
        <v>160</v>
      </c>
      <c r="J15" s="1102" t="s">
        <v>849</v>
      </c>
      <c r="N15" s="1172" t="s">
        <v>850</v>
      </c>
      <c r="X15" s="1100"/>
      <c r="AW15" s="1134" t="s">
        <v>159</v>
      </c>
      <c r="AX15" s="1134" t="s">
        <v>159</v>
      </c>
      <c r="AZ15" s="1134" t="s">
        <v>68</v>
      </c>
      <c r="BB15" s="1134" t="s">
        <v>851</v>
      </c>
      <c r="BC15" s="1134" t="s">
        <v>834</v>
      </c>
      <c r="BE15" s="1134">
        <v>2013</v>
      </c>
      <c r="BH15" s="1081" t="s">
        <v>773</v>
      </c>
      <c r="BJ15" s="1235" t="s">
        <v>852</v>
      </c>
      <c r="BL15" s="1235" t="s">
        <v>852</v>
      </c>
      <c r="BN15" s="1081" t="s">
        <v>853</v>
      </c>
      <c r="BR15" s="1083"/>
      <c r="BS15" s="1467"/>
      <c r="BT15" s="1083"/>
      <c r="BU15" s="1083"/>
      <c r="BV15" s="1083"/>
      <c r="BW15" s="1740"/>
      <c r="BX15" s="1736"/>
    </row>
    <row customHeight="1" ht="21">
      <c r="A16" s="1087" t="s">
        <v>854</v>
      </c>
      <c r="B16" s="1088">
        <v>2014</v>
      </c>
      <c r="E16" s="1745" t="s">
        <v>855</v>
      </c>
      <c r="G16" s="1089" t="s">
        <v>856</v>
      </c>
      <c r="H16" s="1089" t="s">
        <v>857</v>
      </c>
      <c r="I16" s="1091" t="s">
        <v>858</v>
      </c>
      <c r="J16" s="1102" t="s">
        <v>633</v>
      </c>
      <c r="N16" s="1172" t="s">
        <v>859</v>
      </c>
      <c r="AW16" s="1134" t="s">
        <v>160</v>
      </c>
      <c r="AX16" s="1134" t="s">
        <v>160</v>
      </c>
      <c r="AZ16" s="1134" t="s">
        <v>784</v>
      </c>
      <c r="BB16" s="1134" t="s">
        <v>860</v>
      </c>
      <c r="BC16" s="1134" t="s">
        <v>834</v>
      </c>
      <c r="BE16" s="1134">
        <v>2014</v>
      </c>
      <c r="BH16" s="1081" t="s">
        <v>789</v>
      </c>
      <c r="BJ16" s="1235" t="s">
        <v>861</v>
      </c>
      <c r="BL16" s="1235" t="s">
        <v>861</v>
      </c>
      <c r="BN16" s="1081" t="s">
        <v>862</v>
      </c>
      <c r="BR16" s="1083"/>
      <c r="BS16" s="1467"/>
      <c r="BT16" s="1083"/>
      <c r="BU16" s="1083"/>
      <c r="BV16" s="1083"/>
      <c r="BW16" s="1740"/>
      <c r="BX16" s="1736"/>
    </row>
    <row customHeight="1" ht="21">
      <c r="A17" s="1087" t="s">
        <v>863</v>
      </c>
      <c r="B17" s="1088">
        <v>2015</v>
      </c>
      <c r="G17" s="1089" t="s">
        <v>809</v>
      </c>
      <c r="H17" s="1089" t="s">
        <v>809</v>
      </c>
      <c r="I17" s="1089" t="s">
        <v>864</v>
      </c>
      <c r="N17" s="1172" t="s">
        <v>865</v>
      </c>
      <c r="X17" s="1100"/>
      <c r="AW17" s="1134" t="s">
        <v>858</v>
      </c>
      <c r="AX17" s="1134" t="s">
        <v>858</v>
      </c>
      <c r="AZ17" s="1134" t="s">
        <v>866</v>
      </c>
      <c r="BB17" s="1134" t="s">
        <v>867</v>
      </c>
      <c r="BC17" s="1134" t="s">
        <v>719</v>
      </c>
      <c r="BE17" s="1134">
        <v>2015</v>
      </c>
      <c r="BH17" s="1081" t="s">
        <v>805</v>
      </c>
      <c r="BJ17" s="1235" t="s">
        <v>868</v>
      </c>
      <c r="BL17" s="1235" t="s">
        <v>868</v>
      </c>
      <c r="BN17" s="1081" t="s">
        <v>869</v>
      </c>
      <c r="BR17" s="1080" t="s">
        <v>661</v>
      </c>
      <c r="BS17" s="1464"/>
      <c r="BU17" s="1080" t="s">
        <v>870</v>
      </c>
      <c r="BV17" s="1083"/>
      <c r="BW17" s="1736"/>
      <c r="BX17" s="1738" t="s">
        <v>871</v>
      </c>
      <c r="CA17" s="1080" t="s">
        <v>872</v>
      </c>
      <c r="CD17" s="1080" t="s">
        <v>873</v>
      </c>
    </row>
    <row customHeight="1" ht="21">
      <c r="A18" s="1087" t="s">
        <v>874</v>
      </c>
      <c r="B18" s="1088">
        <v>2016</v>
      </c>
      <c r="I18" s="1089" t="s">
        <v>875</v>
      </c>
      <c r="N18" s="1172" t="s">
        <v>876</v>
      </c>
      <c r="X18" s="1100"/>
      <c r="AW18" s="1134" t="s">
        <v>864</v>
      </c>
      <c r="AX18" s="1134" t="s">
        <v>864</v>
      </c>
      <c r="BB18" s="1134" t="s">
        <v>877</v>
      </c>
      <c r="BC18" s="1134" t="s">
        <v>719</v>
      </c>
      <c r="BE18" s="1134">
        <v>2016</v>
      </c>
      <c r="BH18" s="1081" t="s">
        <v>819</v>
      </c>
      <c r="BJ18" s="1235" t="s">
        <v>878</v>
      </c>
      <c r="BL18" s="1235" t="s">
        <v>878</v>
      </c>
      <c r="BN18" s="1081" t="s">
        <v>879</v>
      </c>
      <c r="BQ18" s="1468" t="s">
        <v>691</v>
      </c>
      <c r="BR18" s="1173" t="s">
        <v>692</v>
      </c>
      <c r="BS18" s="260"/>
      <c r="BT18" s="1468" t="s">
        <v>880</v>
      </c>
      <c r="BU18" s="1173" t="s">
        <v>881</v>
      </c>
      <c r="BV18" s="1083"/>
      <c r="BW18" s="1743" t="s">
        <v>882</v>
      </c>
      <c r="BX18" s="1737" t="s">
        <v>883</v>
      </c>
      <c r="BZ18" s="1468" t="s">
        <v>884</v>
      </c>
      <c r="CA18" s="1173" t="s">
        <v>885</v>
      </c>
      <c r="CC18" s="1468" t="s">
        <v>886</v>
      </c>
      <c r="CD18" s="1173" t="s">
        <v>887</v>
      </c>
    </row>
    <row customHeight="1" ht="21">
      <c r="A19" s="1087" t="s">
        <v>888</v>
      </c>
      <c r="B19" s="1088">
        <v>2017</v>
      </c>
      <c r="I19" s="1089" t="s">
        <v>889</v>
      </c>
      <c r="N19" s="1172" t="s">
        <v>890</v>
      </c>
      <c r="X19" s="1100"/>
      <c r="AW19" s="1134" t="s">
        <v>875</v>
      </c>
      <c r="AX19" s="1134" t="s">
        <v>875</v>
      </c>
      <c r="AZ19" s="1080" t="s">
        <v>891</v>
      </c>
      <c r="BB19" s="1134" t="s">
        <v>892</v>
      </c>
      <c r="BC19" s="1134" t="s">
        <v>719</v>
      </c>
      <c r="BE19" s="1134">
        <v>2017</v>
      </c>
      <c r="BH19" s="1081" t="s">
        <v>893</v>
      </c>
      <c r="BJ19" s="1235" t="s">
        <v>894</v>
      </c>
      <c r="BL19" s="1235" t="s">
        <v>894</v>
      </c>
      <c r="BQ19" s="1317">
        <v>4190064</v>
      </c>
      <c r="BR19" s="1081" t="s">
        <v>895</v>
      </c>
      <c r="BS19" s="1465"/>
      <c r="BT19" s="1317">
        <v>4189671</v>
      </c>
      <c r="BU19" s="1081" t="s">
        <v>896</v>
      </c>
      <c r="BV19" s="1083"/>
      <c r="BW19" s="1741">
        <v>4189706</v>
      </c>
      <c r="BX19" s="1739" t="s">
        <v>897</v>
      </c>
      <c r="BZ19" s="1317">
        <v>4189714</v>
      </c>
      <c r="CA19" s="1081" t="s">
        <v>898</v>
      </c>
      <c r="CC19" s="1317">
        <v>4189708</v>
      </c>
      <c r="CD19" s="1081" t="s">
        <v>899</v>
      </c>
    </row>
    <row customHeight="1" ht="21">
      <c r="A20" s="1087" t="s">
        <v>900</v>
      </c>
      <c r="B20" s="1088">
        <v>2018</v>
      </c>
      <c r="I20" s="1089" t="s">
        <v>901</v>
      </c>
      <c r="N20" s="1172" t="s">
        <v>902</v>
      </c>
      <c r="AW20" s="1134" t="s">
        <v>889</v>
      </c>
      <c r="AX20" s="1134" t="s">
        <v>889</v>
      </c>
      <c r="AZ20" s="1134" t="s">
        <v>903</v>
      </c>
      <c r="BB20" s="1134" t="s">
        <v>904</v>
      </c>
      <c r="BC20" s="1134" t="s">
        <v>834</v>
      </c>
      <c r="BE20" s="1134">
        <v>2018</v>
      </c>
      <c r="BH20" s="1081" t="s">
        <v>830</v>
      </c>
      <c r="BJ20" s="1081" t="s">
        <v>759</v>
      </c>
      <c r="BL20" s="1081" t="s">
        <v>759</v>
      </c>
      <c r="BQ20" s="1317">
        <v>4190065</v>
      </c>
      <c r="BR20" s="1081" t="s">
        <v>905</v>
      </c>
      <c r="BS20" s="1465"/>
      <c r="BT20" s="1317">
        <v>4189672</v>
      </c>
      <c r="BU20" s="1081" t="s">
        <v>906</v>
      </c>
      <c r="BV20" s="1083"/>
      <c r="BW20" s="1741">
        <v>4189705</v>
      </c>
      <c r="BX20" s="1739" t="s">
        <v>907</v>
      </c>
      <c r="BZ20" s="1317">
        <v>4189713</v>
      </c>
      <c r="CA20" s="1081" t="s">
        <v>907</v>
      </c>
      <c r="CC20" s="1317">
        <v>4189709</v>
      </c>
      <c r="CD20" s="1081" t="s">
        <v>908</v>
      </c>
    </row>
    <row customHeight="1" ht="21">
      <c r="A21" s="1087" t="s">
        <v>909</v>
      </c>
      <c r="B21" s="1088">
        <v>2019</v>
      </c>
      <c r="I21" s="1089" t="s">
        <v>910</v>
      </c>
      <c r="N21" s="1172" t="s">
        <v>911</v>
      </c>
      <c r="AW21" s="1134" t="s">
        <v>901</v>
      </c>
      <c r="AX21" s="1134" t="s">
        <v>901</v>
      </c>
      <c r="AZ21" s="1134" t="s">
        <v>912</v>
      </c>
      <c r="BB21" s="1134" t="s">
        <v>913</v>
      </c>
      <c r="BC21" s="1134" t="s">
        <v>719</v>
      </c>
      <c r="BE21" s="1134">
        <v>2019</v>
      </c>
      <c r="BH21" s="1081" t="s">
        <v>837</v>
      </c>
      <c r="BJ21" s="1081" t="s">
        <v>773</v>
      </c>
      <c r="BL21" s="1081" t="s">
        <v>773</v>
      </c>
      <c r="BQ21" s="1317">
        <v>4190066</v>
      </c>
      <c r="BR21" s="1081" t="s">
        <v>914</v>
      </c>
      <c r="BS21" s="1465"/>
      <c r="BT21" s="1317">
        <v>4189673</v>
      </c>
      <c r="BU21" s="1081" t="s">
        <v>915</v>
      </c>
      <c r="BV21" s="1083"/>
      <c r="BW21" s="1741">
        <v>4189707</v>
      </c>
      <c r="BX21" s="1739" t="s">
        <v>916</v>
      </c>
      <c r="BZ21" s="1317">
        <v>4189712</v>
      </c>
      <c r="CA21" s="1081" t="s">
        <v>917</v>
      </c>
      <c r="CC21" s="1317">
        <v>4189710</v>
      </c>
      <c r="CD21" s="1081" t="s">
        <v>918</v>
      </c>
    </row>
    <row customHeight="1" ht="21">
      <c r="A22" s="1087" t="s">
        <v>919</v>
      </c>
      <c r="B22" s="1088">
        <v>2020</v>
      </c>
      <c r="N22" s="1172" t="s">
        <v>920</v>
      </c>
      <c r="AW22" s="1134" t="s">
        <v>910</v>
      </c>
      <c r="AX22" s="1134" t="s">
        <v>910</v>
      </c>
      <c r="AZ22" s="1134" t="s">
        <v>921</v>
      </c>
      <c r="BB22" s="1134" t="s">
        <v>922</v>
      </c>
      <c r="BC22" s="1134" t="s">
        <v>719</v>
      </c>
      <c r="BE22" s="1134">
        <v>2020</v>
      </c>
      <c r="BH22" s="1081" t="s">
        <v>844</v>
      </c>
      <c r="BJ22" s="1081" t="s">
        <v>789</v>
      </c>
      <c r="BL22" s="1081" t="s">
        <v>789</v>
      </c>
      <c r="BQ22" s="1317">
        <v>4190067</v>
      </c>
      <c r="BR22" s="1081" t="s">
        <v>923</v>
      </c>
      <c r="BS22" s="1465"/>
      <c r="BT22" s="1317">
        <v>4189674</v>
      </c>
      <c r="BU22" s="1081" t="s">
        <v>924</v>
      </c>
      <c r="BV22" s="1083"/>
      <c r="BW22" s="1083"/>
      <c r="CC22" s="1317">
        <v>4189711</v>
      </c>
      <c r="CD22" s="1081" t="s">
        <v>286</v>
      </c>
    </row>
    <row customHeight="1" ht="21">
      <c r="A23" s="1087" t="s">
        <v>925</v>
      </c>
      <c r="B23" s="1088">
        <v>2021</v>
      </c>
      <c r="AW23" s="1134" t="s">
        <v>926</v>
      </c>
      <c r="AX23" s="1134" t="s">
        <v>926</v>
      </c>
      <c r="AZ23" s="1134" t="s">
        <v>927</v>
      </c>
      <c r="BB23" s="1134" t="s">
        <v>928</v>
      </c>
      <c r="BC23" s="1134" t="s">
        <v>626</v>
      </c>
      <c r="BE23" s="1134">
        <v>2021</v>
      </c>
      <c r="BH23" s="1081" t="s">
        <v>853</v>
      </c>
      <c r="BJ23" s="1081" t="s">
        <v>805</v>
      </c>
      <c r="BL23" s="1081" t="s">
        <v>805</v>
      </c>
      <c r="BQ23" s="1317">
        <v>4190068</v>
      </c>
      <c r="BR23" s="1081" t="s">
        <v>929</v>
      </c>
      <c r="BS23" s="1465"/>
      <c r="BT23" s="1317">
        <v>4189675</v>
      </c>
      <c r="BU23" s="1081" t="s">
        <v>930</v>
      </c>
      <c r="BV23" s="1083"/>
      <c r="BW23" s="1083"/>
      <c r="CC23" s="1317">
        <v>5110778</v>
      </c>
      <c r="CD23" s="1081" t="s">
        <v>931</v>
      </c>
    </row>
    <row customHeight="1" ht="21">
      <c r="A24" s="1087" t="s">
        <v>932</v>
      </c>
      <c r="B24" s="1088">
        <v>2022</v>
      </c>
      <c r="AW24" s="1134" t="s">
        <v>933</v>
      </c>
      <c r="AX24" s="1134" t="s">
        <v>933</v>
      </c>
      <c r="AZ24" s="1134" t="s">
        <v>934</v>
      </c>
      <c r="BB24" s="1134" t="s">
        <v>935</v>
      </c>
      <c r="BC24" s="1134" t="s">
        <v>936</v>
      </c>
      <c r="BE24" s="1134">
        <v>2022</v>
      </c>
      <c r="BH24" s="1081" t="s">
        <v>862</v>
      </c>
      <c r="BJ24" s="1081" t="s">
        <v>819</v>
      </c>
      <c r="BL24" s="1081" t="s">
        <v>819</v>
      </c>
      <c r="BQ24" s="1317">
        <v>4190069</v>
      </c>
      <c r="BR24" s="1081" t="s">
        <v>937</v>
      </c>
      <c r="BS24" s="1465"/>
      <c r="BT24" s="1317">
        <v>4189676</v>
      </c>
      <c r="BU24" s="1081" t="s">
        <v>938</v>
      </c>
      <c r="BV24" s="1083"/>
      <c r="BW24" s="1083"/>
      <c r="CC24" s="1317">
        <v>25575374</v>
      </c>
      <c r="CD24" s="1081" t="s">
        <v>939</v>
      </c>
    </row>
    <row customHeight="1" ht="11.25">
      <c r="A25" s="1087" t="s">
        <v>940</v>
      </c>
      <c r="B25" s="1088">
        <v>2023</v>
      </c>
      <c r="AW25" s="1134" t="s">
        <v>941</v>
      </c>
      <c r="AX25" s="1134" t="s">
        <v>941</v>
      </c>
      <c r="AZ25" s="1134" t="s">
        <v>942</v>
      </c>
      <c r="BB25" s="1134" t="s">
        <v>943</v>
      </c>
      <c r="BC25" s="1134" t="s">
        <v>936</v>
      </c>
      <c r="BE25" s="1134">
        <v>2023</v>
      </c>
      <c r="BH25" s="1081" t="s">
        <v>869</v>
      </c>
      <c r="BJ25" s="1081" t="s">
        <v>893</v>
      </c>
      <c r="BL25" s="1081" t="s">
        <v>893</v>
      </c>
      <c r="BQ25" s="1317">
        <v>4190070</v>
      </c>
      <c r="BR25" s="1081" t="s">
        <v>944</v>
      </c>
      <c r="BS25" s="1465"/>
      <c r="BT25" s="1317">
        <v>4189677</v>
      </c>
      <c r="BU25" s="1081" t="s">
        <v>945</v>
      </c>
      <c r="BV25" s="1083"/>
      <c r="BW25" s="1083"/>
    </row>
    <row customHeight="1" ht="11.25">
      <c r="A26" s="1087" t="s">
        <v>946</v>
      </c>
      <c r="B26" s="1088">
        <v>2024</v>
      </c>
      <c r="J26" s="1777" t="s">
        <v>947</v>
      </c>
      <c r="AX26" s="1134" t="s">
        <v>948</v>
      </c>
      <c r="AZ26" s="1134" t="s">
        <v>812</v>
      </c>
      <c r="BB26" s="1134" t="s">
        <v>949</v>
      </c>
      <c r="BC26" s="1134" t="s">
        <v>936</v>
      </c>
      <c r="BE26" s="1134">
        <v>2024</v>
      </c>
      <c r="BH26" s="1081" t="s">
        <v>879</v>
      </c>
      <c r="BJ26" s="1081" t="s">
        <v>830</v>
      </c>
      <c r="BL26" s="1081" t="s">
        <v>830</v>
      </c>
      <c r="BQ26" s="1317">
        <v>4190071</v>
      </c>
      <c r="BR26" s="1081" t="s">
        <v>950</v>
      </c>
      <c r="BS26" s="1465"/>
      <c r="BV26" s="1083"/>
      <c r="BW26" s="1083"/>
    </row>
    <row customHeight="1" ht="11.25">
      <c r="A27" s="1087" t="s">
        <v>951</v>
      </c>
      <c r="B27" s="1088">
        <v>2025</v>
      </c>
      <c r="J27" s="162" t="s">
        <v>121</v>
      </c>
      <c r="AX27" s="1134" t="s">
        <v>952</v>
      </c>
      <c r="BB27" s="1134" t="s">
        <v>953</v>
      </c>
      <c r="BC27" s="1134" t="s">
        <v>936</v>
      </c>
      <c r="BE27" s="1134">
        <v>2025</v>
      </c>
      <c r="BH27" s="1083" t="s">
        <v>18</v>
      </c>
      <c r="BJ27" s="1081" t="s">
        <v>837</v>
      </c>
      <c r="BL27" s="1081" t="s">
        <v>837</v>
      </c>
      <c r="BN27" s="1083" t="s">
        <v>18</v>
      </c>
      <c r="BQ27" s="1317">
        <v>4190072</v>
      </c>
      <c r="BR27" s="1081" t="s">
        <v>954</v>
      </c>
      <c r="BS27" s="1465"/>
      <c r="BV27" s="1083"/>
      <c r="BW27" s="1083"/>
    </row>
    <row customHeight="1" ht="11.25">
      <c r="A28" s="1087" t="s">
        <v>955</v>
      </c>
      <c r="D28" s="1114"/>
      <c r="E28" s="1115"/>
      <c r="F28" s="1115"/>
      <c r="H28" s="1116" t="s">
        <v>956</v>
      </c>
      <c r="AX28" s="1134" t="s">
        <v>957</v>
      </c>
      <c r="AZ28" s="1080" t="s">
        <v>958</v>
      </c>
      <c r="BB28" s="1134" t="s">
        <v>959</v>
      </c>
      <c r="BC28" s="1134" t="s">
        <v>960</v>
      </c>
      <c r="BE28" s="1134">
        <v>2026</v>
      </c>
      <c r="BH28" s="1083" t="s">
        <v>18</v>
      </c>
      <c r="BJ28" s="1081" t="s">
        <v>844</v>
      </c>
      <c r="BL28" s="1081" t="s">
        <v>844</v>
      </c>
      <c r="BN28" s="1083" t="s">
        <v>18</v>
      </c>
      <c r="BQ28" s="1317">
        <v>4190073</v>
      </c>
      <c r="BR28" s="1081" t="s">
        <v>961</v>
      </c>
      <c r="BS28" s="1465"/>
      <c r="BV28" s="1083"/>
      <c r="BW28" s="1083"/>
    </row>
    <row customHeight="1" ht="11.25">
      <c r="A29" s="1087" t="s">
        <v>962</v>
      </c>
      <c r="D29" s="1117" t="s">
        <v>963</v>
      </c>
      <c r="E29" s="1118" t="str">
        <f>IF(TEMPLATE_GROUP="","",INDEX(StartDateList,MATCH(TEMPLATE_GROUP,CodeTemplateList,0),1))</f>
        <v>01.01.2023</v>
      </c>
      <c r="F29" s="1118" t="str">
        <f>IF(TEMPLATE_GROUP="","",INDEX(EndDateList,MATCH(TEMPLATE_GROUP,CodeTemplateList,0),1))</f>
        <v>31.12.2023</v>
      </c>
      <c r="H29" s="1119" t="s">
        <v>964</v>
      </c>
      <c r="AX29" s="1134" t="s">
        <v>965</v>
      </c>
      <c r="AZ29" s="1134" t="s">
        <v>610</v>
      </c>
      <c r="BB29" s="1134" t="s">
        <v>812</v>
      </c>
      <c r="BC29" s="1104"/>
      <c r="BE29" s="1134">
        <v>2027</v>
      </c>
      <c r="BJ29" s="1081" t="s">
        <v>853</v>
      </c>
      <c r="BL29" s="1081" t="s">
        <v>853</v>
      </c>
    </row>
    <row customHeight="1" ht="11.25">
      <c r="A30" s="1087" t="s">
        <v>966</v>
      </c>
      <c r="D30" s="1120"/>
      <c r="E30" s="1121"/>
      <c r="F30" s="1121"/>
      <c r="AX30" s="1134" t="s">
        <v>967</v>
      </c>
      <c r="AZ30" s="1134" t="s">
        <v>639</v>
      </c>
      <c r="BE30" s="1134">
        <v>2028</v>
      </c>
      <c r="BJ30" s="1081" t="s">
        <v>968</v>
      </c>
      <c r="BL30" s="1081" t="s">
        <v>968</v>
      </c>
    </row>
    <row customHeight="1" ht="12.75">
      <c r="A31" s="1087" t="s">
        <v>969</v>
      </c>
      <c r="D31" s="1114"/>
      <c r="E31" s="1115"/>
      <c r="F31" s="1115"/>
      <c r="H31" s="1122"/>
      <c r="AX31" s="1134" t="s">
        <v>970</v>
      </c>
      <c r="AZ31" s="1134" t="s">
        <v>971</v>
      </c>
      <c r="BE31" s="1134">
        <v>2029</v>
      </c>
      <c r="BJ31" s="1081" t="s">
        <v>972</v>
      </c>
      <c r="BL31" s="1081" t="s">
        <v>972</v>
      </c>
    </row>
    <row customHeight="1" ht="11.25">
      <c r="A32" s="1087" t="s">
        <v>973</v>
      </c>
      <c r="D32" s="1117" t="s">
        <v>974</v>
      </c>
      <c r="E32" s="1118" t="str">
        <f>IF(TEMPLATE_GROUP="","",INDEX(StartDateList,MATCH(TEMPLATE_GROUP,CodeTemplateList,0),1))</f>
        <v>01.01.2023</v>
      </c>
      <c r="F32" s="1118" t="str">
        <f>IF(TEMPLATE_GROUP="","",INDEX(EndDateList,MATCH(TEMPLATE_GROUP,CodeTemplateList,0),1))</f>
        <v>31.12.2023</v>
      </c>
      <c r="H32" s="1123" t="s">
        <v>975</v>
      </c>
      <c r="O32" s="1087" t="s">
        <v>608</v>
      </c>
      <c r="AX32" s="1134" t="s">
        <v>976</v>
      </c>
      <c r="AZ32" s="1134" t="s">
        <v>707</v>
      </c>
      <c r="BE32" s="1134">
        <v>2030</v>
      </c>
      <c r="BJ32" s="1081" t="s">
        <v>862</v>
      </c>
      <c r="BL32" s="1081" t="s">
        <v>862</v>
      </c>
    </row>
    <row customHeight="1" ht="11.25">
      <c r="A33" s="1087" t="s">
        <v>977</v>
      </c>
      <c r="O33" s="1087" t="s">
        <v>636</v>
      </c>
      <c r="AX33" s="1134" t="s">
        <v>978</v>
      </c>
      <c r="AZ33" s="1134" t="s">
        <v>609</v>
      </c>
      <c r="BE33" s="1134">
        <v>2031</v>
      </c>
      <c r="BJ33" s="1081" t="s">
        <v>869</v>
      </c>
      <c r="BL33" s="1081" t="s">
        <v>869</v>
      </c>
    </row>
    <row customHeight="1" ht="11.25">
      <c r="A34" s="1087" t="s">
        <v>979</v>
      </c>
      <c r="O34" s="1087" t="s">
        <v>672</v>
      </c>
      <c r="AX34" s="1134" t="s">
        <v>980</v>
      </c>
      <c r="BE34" s="1134">
        <v>2032</v>
      </c>
      <c r="BJ34" s="1081" t="s">
        <v>879</v>
      </c>
      <c r="BL34" s="1081" t="s">
        <v>879</v>
      </c>
    </row>
    <row customHeight="1" ht="11.25">
      <c r="A35" s="1087" t="s">
        <v>981</v>
      </c>
      <c r="O35" s="1087" t="s">
        <v>705</v>
      </c>
      <c r="AX35" s="1134" t="s">
        <v>982</v>
      </c>
      <c r="AZ35" s="1080" t="s">
        <v>983</v>
      </c>
      <c r="BE35" s="1134">
        <v>2033</v>
      </c>
      <c r="BL35" s="1081" t="s">
        <v>984</v>
      </c>
    </row>
    <row customHeight="1" ht="11.25">
      <c r="A36" s="1087" t="s">
        <v>985</v>
      </c>
      <c r="D36" s="1124" t="s">
        <v>986</v>
      </c>
      <c r="E36" s="1125" t="s">
        <v>599</v>
      </c>
      <c r="F36" s="1126" t="str">
        <f>INDEX(E37:E41,MATCH(TEMPLATE_SPHERE,F37:F41,0))</f>
        <v>водоотведения</v>
      </c>
      <c r="G36" s="1126" t="str">
        <f>INDEX(G37:G41,MATCH(TEMPLATE_SPHERE,F37:F41,0))</f>
        <v>водоотведение</v>
      </c>
      <c r="O36" s="1087" t="s">
        <v>730</v>
      </c>
      <c r="AX36" s="1134" t="s">
        <v>987</v>
      </c>
      <c r="AZ36" s="1134" t="s">
        <v>609</v>
      </c>
      <c r="BE36" s="1134">
        <v>2034</v>
      </c>
      <c r="BL36" s="1081" t="s">
        <v>988</v>
      </c>
    </row>
    <row customHeight="1" ht="11.25">
      <c r="A37" s="1087" t="s">
        <v>989</v>
      </c>
      <c r="E37" s="414" t="s">
        <v>990</v>
      </c>
      <c r="F37" s="1127" t="s">
        <v>597</v>
      </c>
      <c r="G37" s="414" t="s">
        <v>991</v>
      </c>
      <c r="O37" s="1087" t="s">
        <v>749</v>
      </c>
      <c r="AX37" s="1134" t="s">
        <v>992</v>
      </c>
      <c r="AZ37" s="1134" t="s">
        <v>638</v>
      </c>
      <c r="BE37" s="1134">
        <v>2035</v>
      </c>
    </row>
    <row customHeight="1" ht="11.25">
      <c r="A38" s="1087" t="s">
        <v>993</v>
      </c>
      <c r="E38" s="414" t="s">
        <v>994</v>
      </c>
      <c r="F38" s="1128" t="s">
        <v>995</v>
      </c>
      <c r="G38" s="414" t="s">
        <v>996</v>
      </c>
      <c r="O38" s="1087" t="s">
        <v>765</v>
      </c>
      <c r="AX38" s="1134" t="s">
        <v>997</v>
      </c>
      <c r="AZ38" s="1134" t="s">
        <v>673</v>
      </c>
      <c r="BE38" s="1134">
        <v>2036</v>
      </c>
      <c r="BH38" s="1080" t="s">
        <v>998</v>
      </c>
      <c r="BJ38" s="1080" t="s">
        <v>999</v>
      </c>
      <c r="BL38" s="1080" t="s">
        <v>1000</v>
      </c>
      <c r="BN38" s="1080" t="s">
        <v>1001</v>
      </c>
    </row>
    <row customHeight="1" ht="11.25">
      <c r="A39" s="1087" t="s">
        <v>1002</v>
      </c>
      <c r="E39" s="414" t="s">
        <v>1003</v>
      </c>
      <c r="F39" s="1128" t="s">
        <v>599</v>
      </c>
      <c r="G39" s="414" t="s">
        <v>1004</v>
      </c>
      <c r="O39" s="1087" t="s">
        <v>780</v>
      </c>
      <c r="AX39" s="1134" t="s">
        <v>1005</v>
      </c>
      <c r="AZ39" s="1134" t="s">
        <v>706</v>
      </c>
      <c r="BE39" s="1134">
        <v>2037</v>
      </c>
      <c r="BH39" s="1081" t="s">
        <v>1006</v>
      </c>
      <c r="BJ39" s="1235" t="s">
        <v>1006</v>
      </c>
      <c r="BL39" s="1235" t="s">
        <v>1006</v>
      </c>
      <c r="BN39" s="1081" t="s">
        <v>1007</v>
      </c>
    </row>
    <row customHeight="1" ht="11.25">
      <c r="A40" s="1087" t="s">
        <v>1008</v>
      </c>
      <c r="E40" s="414" t="s">
        <v>1009</v>
      </c>
      <c r="F40" s="1128" t="s">
        <v>1010</v>
      </c>
      <c r="G40" s="414" t="s">
        <v>1011</v>
      </c>
      <c r="O40" s="1087" t="s">
        <v>796</v>
      </c>
      <c r="AX40" s="1134" t="s">
        <v>1012</v>
      </c>
      <c r="BE40" s="1134">
        <v>2038</v>
      </c>
      <c r="BH40" s="1081" t="s">
        <v>1013</v>
      </c>
      <c r="BJ40" s="1235" t="s">
        <v>1014</v>
      </c>
      <c r="BL40" s="1235" t="s">
        <v>1014</v>
      </c>
      <c r="BN40" s="1081" t="s">
        <v>1015</v>
      </c>
    </row>
    <row customHeight="1" ht="11.25">
      <c r="A41" s="1087" t="s">
        <v>1016</v>
      </c>
      <c r="E41" s="414" t="s">
        <v>1017</v>
      </c>
      <c r="F41" s="1128" t="s">
        <v>1018</v>
      </c>
      <c r="G41" s="414" t="s">
        <v>1017</v>
      </c>
      <c r="O41" s="1087" t="s">
        <v>812</v>
      </c>
      <c r="AX41" s="1134" t="s">
        <v>1019</v>
      </c>
      <c r="AZ41" s="1080" t="s">
        <v>1020</v>
      </c>
      <c r="BE41" s="1134">
        <v>2039</v>
      </c>
      <c r="BH41" s="1081" t="s">
        <v>1021</v>
      </c>
      <c r="BJ41" s="1235" t="s">
        <v>1022</v>
      </c>
      <c r="BL41" s="1235" t="s">
        <v>1022</v>
      </c>
      <c r="BN41" s="1081" t="s">
        <v>1023</v>
      </c>
    </row>
    <row customHeight="1" ht="11.25">
      <c r="A42" s="1087" t="s">
        <v>1024</v>
      </c>
      <c r="AX42" s="1134" t="s">
        <v>1025</v>
      </c>
      <c r="AZ42" s="1134" t="s">
        <v>608</v>
      </c>
      <c r="BE42" s="1134">
        <v>2040</v>
      </c>
      <c r="BH42" s="1081" t="s">
        <v>1026</v>
      </c>
      <c r="BJ42" s="1235" t="s">
        <v>1027</v>
      </c>
      <c r="BL42" s="1235" t="s">
        <v>1027</v>
      </c>
      <c r="BN42" s="1081" t="s">
        <v>1028</v>
      </c>
    </row>
    <row customHeight="1" ht="11.25">
      <c r="A43" s="1087" t="s">
        <v>1029</v>
      </c>
      <c r="AX43" s="1134" t="s">
        <v>1030</v>
      </c>
      <c r="AZ43" s="1134" t="s">
        <v>636</v>
      </c>
      <c r="BE43" s="1134">
        <v>2041</v>
      </c>
      <c r="BH43" s="1081" t="s">
        <v>1031</v>
      </c>
      <c r="BJ43" s="1235" t="s">
        <v>1021</v>
      </c>
      <c r="BL43" s="1235" t="s">
        <v>1021</v>
      </c>
      <c r="BN43" s="1081" t="s">
        <v>1032</v>
      </c>
    </row>
    <row customHeight="1" ht="11.25">
      <c r="A44" s="1087" t="s">
        <v>1033</v>
      </c>
      <c r="I44" s="809" t="s">
        <v>1034</v>
      </c>
      <c r="J44" s="1102" t="s">
        <v>1035</v>
      </c>
      <c r="K44" s="1102" t="s">
        <v>1036</v>
      </c>
      <c r="AX44" s="1134" t="s">
        <v>1037</v>
      </c>
      <c r="AZ44" s="1134" t="s">
        <v>672</v>
      </c>
      <c r="BE44" s="1134">
        <v>2042</v>
      </c>
      <c r="BH44" s="1081" t="s">
        <v>1038</v>
      </c>
      <c r="BJ44" s="1235" t="s">
        <v>1026</v>
      </c>
      <c r="BL44" s="1235" t="s">
        <v>1026</v>
      </c>
      <c r="BN44" s="1081" t="s">
        <v>1039</v>
      </c>
    </row>
    <row customHeight="1" ht="11.25">
      <c r="A45" s="1087" t="s">
        <v>1040</v>
      </c>
      <c r="D45" s="1124" t="s">
        <v>1041</v>
      </c>
      <c r="E45" s="1125" t="s">
        <v>1042</v>
      </c>
      <c r="F45" s="807" t="s">
        <v>1043</v>
      </c>
      <c r="G45" s="806" t="s">
        <v>1044</v>
      </c>
      <c r="H45" s="809" t="s">
        <v>1045</v>
      </c>
      <c r="I45" s="1787">
        <f>INDEX(PeriodIsEmptyList,MATCH(TEMPLATE_GROUP,CodeTemplateList,0),1)</f>
        <v>0</v>
      </c>
      <c r="J45" s="1790"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34" t="s">
        <v>1046</v>
      </c>
      <c r="AZ45" s="1134" t="s">
        <v>705</v>
      </c>
      <c r="BE45" s="1134">
        <v>2043</v>
      </c>
      <c r="BH45" s="1081" t="s">
        <v>1047</v>
      </c>
      <c r="BJ45" s="1235" t="s">
        <v>1048</v>
      </c>
      <c r="BL45" s="1235" t="s">
        <v>1048</v>
      </c>
      <c r="BN45" s="1081" t="s">
        <v>1049</v>
      </c>
    </row>
    <row customHeight="1" ht="11.25">
      <c r="A46" s="1087" t="s">
        <v>14</v>
      </c>
      <c r="E46" s="414" t="s">
        <v>23</v>
      </c>
      <c r="F46" s="1127" t="s">
        <v>1050</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(водоотведения)</v>
      </c>
      <c r="K46" s="1792"/>
      <c r="AX46" s="1134" t="s">
        <v>1051</v>
      </c>
      <c r="AZ46" s="1134" t="s">
        <v>730</v>
      </c>
      <c r="BE46" s="1134">
        <v>2044</v>
      </c>
      <c r="BH46" s="1081" t="s">
        <v>1023</v>
      </c>
      <c r="BJ46" s="1235" t="s">
        <v>1052</v>
      </c>
      <c r="BL46" s="1235" t="s">
        <v>1052</v>
      </c>
      <c r="BN46" s="1081" t="s">
        <v>1053</v>
      </c>
    </row>
    <row customHeight="1" ht="11.25">
      <c r="A47" s="1087" t="s">
        <v>1054</v>
      </c>
      <c r="E47" s="414" t="s">
        <v>29</v>
      </c>
      <c r="F47" s="1128" t="s">
        <v>1055</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92"/>
      <c r="AX47" s="1134" t="s">
        <v>1056</v>
      </c>
      <c r="AZ47" s="1134" t="s">
        <v>749</v>
      </c>
      <c r="BE47" s="1134">
        <v>2045</v>
      </c>
      <c r="BH47" s="1081" t="s">
        <v>1028</v>
      </c>
      <c r="BJ47" s="1235" t="s">
        <v>1057</v>
      </c>
      <c r="BL47" s="1235" t="s">
        <v>1057</v>
      </c>
      <c r="BN47" s="1081" t="s">
        <v>1058</v>
      </c>
    </row>
    <row customHeight="1" ht="11.25">
      <c r="A48" s="1087" t="s">
        <v>1059</v>
      </c>
      <c r="E48" s="414" t="s">
        <v>1060</v>
      </c>
      <c r="F48" s="1128" t="s">
        <v>1042</v>
      </c>
      <c r="G48" s="1130" t="str">
        <f>IF(f_year="","","01.01."&amp;f_year)</f>
        <v>01.01.2023</v>
      </c>
      <c r="H48" s="1130" t="str">
        <f>IF(f_year="","","31.12."&amp;f_year)</f>
        <v>31.12.2023</v>
      </c>
      <c r="I48" s="1788">
        <f>IF(f_year="",TRUE,FALSE)</f>
        <v>0</v>
      </c>
      <c r="J48" s="1791" t="s">
        <v>1061</v>
      </c>
      <c r="K48" s="1792"/>
      <c r="AX48" s="1134" t="s">
        <v>1062</v>
      </c>
      <c r="AZ48" s="1134" t="s">
        <v>765</v>
      </c>
      <c r="BE48" s="1134">
        <v>2046</v>
      </c>
      <c r="BH48" s="1081" t="s">
        <v>1032</v>
      </c>
      <c r="BJ48" s="1235" t="s">
        <v>1063</v>
      </c>
      <c r="BL48" s="1235" t="s">
        <v>1063</v>
      </c>
      <c r="BN48" s="1081" t="s">
        <v>1064</v>
      </c>
    </row>
    <row customHeight="1" ht="11.25">
      <c r="A49" s="1087" t="s">
        <v>1065</v>
      </c>
      <c r="E49" s="414" t="s">
        <v>1066</v>
      </c>
      <c r="F49" s="1128" t="s">
        <v>1067</v>
      </c>
      <c r="G49" s="1130" t="str">
        <f>IF(f_year="","","01.01."&amp;f_year)</f>
        <v>01.01.2023</v>
      </c>
      <c r="H49" s="1130" t="str">
        <f>IF(f_year="","","31.12."&amp;f_year)</f>
        <v>31.12.2023</v>
      </c>
      <c r="I49" s="1788">
        <f>IF(f_year="",TRUE,FALSE)</f>
        <v>0</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92"/>
      <c r="AX49" s="1134" t="s">
        <v>1068</v>
      </c>
      <c r="AZ49" s="1134" t="s">
        <v>780</v>
      </c>
      <c r="BE49" s="1134">
        <v>2047</v>
      </c>
      <c r="BH49" s="1081" t="s">
        <v>1069</v>
      </c>
      <c r="BJ49" s="1235" t="s">
        <v>1070</v>
      </c>
      <c r="BL49" s="1235" t="s">
        <v>1070</v>
      </c>
    </row>
    <row customHeight="1" ht="11.25">
      <c r="A50" s="1087" t="s">
        <v>1071</v>
      </c>
      <c r="E50" s="414" t="s">
        <v>1072</v>
      </c>
      <c r="F50" s="1128" t="s">
        <v>1073</v>
      </c>
      <c r="G50" s="1130" t="str">
        <f>IF(f_year="","","01.01."&amp;f_year)</f>
        <v>01.01.2023</v>
      </c>
      <c r="H50" s="1130" t="str">
        <f>IF(f_year="","","31.12."&amp;f_year)</f>
        <v>31.12.2023</v>
      </c>
      <c r="I50" s="1788">
        <f>IF(f_year="",TRUE,FALSE)</f>
        <v>0</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92"/>
      <c r="AX50" s="1134" t="s">
        <v>1074</v>
      </c>
      <c r="AZ50" s="1134" t="s">
        <v>796</v>
      </c>
      <c r="BE50" s="1134">
        <v>2048</v>
      </c>
      <c r="BH50" s="1081" t="s">
        <v>1039</v>
      </c>
      <c r="BJ50" s="1235" t="s">
        <v>1075</v>
      </c>
      <c r="BL50" s="1235" t="s">
        <v>1075</v>
      </c>
    </row>
    <row customHeight="1" ht="11.25">
      <c r="A51" s="1087" t="s">
        <v>1076</v>
      </c>
      <c r="E51" s="414" t="s">
        <v>1077</v>
      </c>
      <c r="F51" s="1128" t="s">
        <v>1078</v>
      </c>
      <c r="G51" s="1130" t="str">
        <f>IF(TITLE_PERIOD_START="","",TITLE_PERIOD_START)</f>
        <v/>
      </c>
      <c r="H51" s="1130" t="str">
        <f>IF(TITLE_PERIOD_END="","",TITLE_PERIOD_END)</f>
        <v/>
      </c>
      <c r="I51" s="1789">
        <f>IF(OR(TITLE_PERIOD_START="",TITLE_PERIOD_END=""),TRUE,FALSE)</f>
        <v>1</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1079</v>
      </c>
      <c r="AZ51" s="1134" t="s">
        <v>812</v>
      </c>
      <c r="BE51" s="1134">
        <v>2049</v>
      </c>
      <c r="BH51" s="1081" t="s">
        <v>1049</v>
      </c>
      <c r="BJ51" s="1235" t="s">
        <v>1080</v>
      </c>
      <c r="BL51" s="1235" t="s">
        <v>1080</v>
      </c>
    </row>
    <row customHeight="1" ht="11.25">
      <c r="A52" s="1087" t="s">
        <v>1081</v>
      </c>
      <c r="E52" s="414" t="s">
        <v>1082</v>
      </c>
      <c r="F52" s="1128" t="s">
        <v>1083</v>
      </c>
      <c r="G52" s="1130" t="str">
        <f>IF(TITLE_PERIOD_START="","",TITLE_PERIOD_START)</f>
        <v/>
      </c>
      <c r="H52" s="1130" t="str">
        <f>IF(TITLE_PERIOD_END="","",TITLE_PERIOD_END)</f>
        <v/>
      </c>
      <c r="I52" s="1789">
        <f>IF(OR(TITLE_PERIOD_START="",TITLE_PERIOD_END=""),TRUE,FALSE)</f>
        <v>1</v>
      </c>
      <c r="J52" s="1791" t="str">
        <f>"Показатели, подлежащие раскрытию в сфере "&amp;TEMPLATE_SPHERE_RUS&amp;" (цены и тарифы)"</f>
        <v>Показатели, подлежащие раскрытию в сфере водоотведения (цены и тарифы)</v>
      </c>
      <c r="K52" s="1792"/>
      <c r="AX52" s="1134" t="s">
        <v>1084</v>
      </c>
      <c r="AZ52" s="1134" t="s">
        <v>609</v>
      </c>
      <c r="BE52" s="1134">
        <v>2050</v>
      </c>
      <c r="BH52" s="1081" t="s">
        <v>1053</v>
      </c>
      <c r="BJ52" s="1235" t="s">
        <v>1023</v>
      </c>
      <c r="BL52" s="1235" t="s">
        <v>1023</v>
      </c>
    </row>
    <row customHeight="1" ht="11.25">
      <c r="A53" s="1087" t="s">
        <v>1085</v>
      </c>
      <c r="E53" s="414" t="s">
        <v>1086</v>
      </c>
      <c r="F53" s="1128" t="s">
        <v>1086</v>
      </c>
      <c r="G53" s="1130" t="str">
        <f>IF(f_year="","","01.01."&amp;f_year)</f>
        <v>01.01.2023</v>
      </c>
      <c r="H53" s="1130" t="str">
        <f>IF(f_year="","","31.12."&amp;f_year)</f>
        <v>31.12.2023</v>
      </c>
      <c r="I53" s="1788">
        <f>IF(AND(f_year="",TITLE_DATE_FIL=""),TRUE,FALSE)</f>
        <v>0</v>
      </c>
      <c r="J53" s="1791" t="s">
        <v>1087</v>
      </c>
      <c r="K53" s="1792"/>
      <c r="AX53" s="1134" t="s">
        <v>1088</v>
      </c>
      <c r="BE53" s="1134">
        <v>2051</v>
      </c>
      <c r="BH53" s="1081" t="s">
        <v>1058</v>
      </c>
      <c r="BJ53" s="1235" t="s">
        <v>1028</v>
      </c>
      <c r="BL53" s="1235" t="s">
        <v>1028</v>
      </c>
    </row>
    <row customHeight="1" ht="11.25">
      <c r="A54" s="1087" t="s">
        <v>1089</v>
      </c>
      <c r="AX54" s="1134" t="s">
        <v>1090</v>
      </c>
      <c r="AZ54" s="1080" t="s">
        <v>1091</v>
      </c>
      <c r="BE54" s="1134">
        <v>2052</v>
      </c>
      <c r="BH54" s="1081" t="s">
        <v>1064</v>
      </c>
      <c r="BJ54" s="1235" t="s">
        <v>1032</v>
      </c>
      <c r="BL54" s="1235" t="s">
        <v>1032</v>
      </c>
    </row>
    <row customHeight="1" ht="11.25">
      <c r="A55" s="1087" t="s">
        <v>1092</v>
      </c>
      <c r="AX55" s="1134" t="s">
        <v>1093</v>
      </c>
      <c r="AZ55" s="1134" t="s">
        <v>611</v>
      </c>
      <c r="BE55" s="1134">
        <v>2053</v>
      </c>
      <c r="BH55" s="1083" t="s">
        <v>18</v>
      </c>
      <c r="BJ55" s="1235" t="s">
        <v>1069</v>
      </c>
      <c r="BL55" s="1235" t="s">
        <v>1069</v>
      </c>
    </row>
    <row customHeight="1" ht="11.25">
      <c r="A56" s="1087" t="s">
        <v>1094</v>
      </c>
      <c r="D56" s="1132" t="s">
        <v>1095</v>
      </c>
      <c r="E56" s="1108">
        <v>55</v>
      </c>
      <c r="F56" s="1087" t="s">
        <v>1096</v>
      </c>
      <c r="AX56" s="1134" t="s">
        <v>1097</v>
      </c>
      <c r="AZ56" s="1134" t="s">
        <v>640</v>
      </c>
      <c r="BE56" s="1134">
        <v>2054</v>
      </c>
      <c r="BH56" s="1083" t="s">
        <v>18</v>
      </c>
      <c r="BJ56" s="1235" t="s">
        <v>1039</v>
      </c>
      <c r="BL56" s="1235" t="s">
        <v>1039</v>
      </c>
    </row>
    <row customHeight="1" ht="11.25">
      <c r="A57" s="1087" t="s">
        <v>1098</v>
      </c>
      <c r="D57" s="1132" t="s">
        <v>1099</v>
      </c>
      <c r="E57" s="1108">
        <v>68</v>
      </c>
      <c r="F57" s="1087" t="s">
        <v>1096</v>
      </c>
      <c r="AX57" s="1134" t="s">
        <v>1100</v>
      </c>
      <c r="AZ57" s="1134" t="s">
        <v>675</v>
      </c>
      <c r="BE57" s="1134">
        <v>2055</v>
      </c>
      <c r="BJ57" s="1235" t="s">
        <v>1049</v>
      </c>
      <c r="BL57" s="1235" t="s">
        <v>1049</v>
      </c>
    </row>
    <row customHeight="1" ht="11.25">
      <c r="A58" s="1087" t="s">
        <v>1101</v>
      </c>
      <c r="D58" s="1132" t="s">
        <v>1102</v>
      </c>
      <c r="E58" s="1108">
        <v>48</v>
      </c>
      <c r="F58" s="1087" t="s">
        <v>1096</v>
      </c>
      <c r="AX58" s="1134" t="s">
        <v>1103</v>
      </c>
      <c r="BE58" s="1134">
        <v>2056</v>
      </c>
      <c r="BJ58" s="1235" t="s">
        <v>1053</v>
      </c>
      <c r="BL58" s="1235" t="s">
        <v>1053</v>
      </c>
    </row>
    <row customHeight="1" ht="11.25">
      <c r="A59" s="1087" t="s">
        <v>1104</v>
      </c>
      <c r="D59" s="1132" t="s">
        <v>138</v>
      </c>
      <c r="E59" s="1108" t="s">
        <v>910</v>
      </c>
      <c r="F59" s="1087" t="s">
        <v>1105</v>
      </c>
      <c r="AX59" s="1134" t="s">
        <v>1106</v>
      </c>
      <c r="AZ59" s="1080" t="s">
        <v>1107</v>
      </c>
      <c r="BE59" s="1134">
        <v>2057</v>
      </c>
      <c r="BJ59" s="1235" t="s">
        <v>1058</v>
      </c>
      <c r="BL59" s="1235" t="s">
        <v>1058</v>
      </c>
    </row>
    <row customHeight="1" ht="11.25">
      <c r="A60" s="1087" t="s">
        <v>1108</v>
      </c>
      <c r="D60" s="1132" t="s">
        <v>1109</v>
      </c>
      <c r="E60" s="1108" t="s">
        <v>910</v>
      </c>
      <c r="F60" s="1087" t="s">
        <v>1105</v>
      </c>
      <c r="AX60" s="1134" t="s">
        <v>1110</v>
      </c>
      <c r="AZ60" s="1134" t="s">
        <v>612</v>
      </c>
      <c r="BE60" s="1134">
        <v>2058</v>
      </c>
      <c r="BJ60" s="1235" t="s">
        <v>1064</v>
      </c>
      <c r="BL60" s="1235" t="s">
        <v>1064</v>
      </c>
    </row>
    <row customHeight="1" ht="11.25">
      <c r="A61" s="1087" t="s">
        <v>1111</v>
      </c>
      <c r="D61" s="1132" t="s">
        <v>1112</v>
      </c>
      <c r="E61" s="1108">
        <v>26</v>
      </c>
      <c r="F61" s="1087" t="s">
        <v>1105</v>
      </c>
      <c r="AX61" s="1134" t="s">
        <v>1113</v>
      </c>
      <c r="AZ61" s="1134" t="s">
        <v>641</v>
      </c>
      <c r="BE61" s="1134">
        <v>2059</v>
      </c>
      <c r="BL61" s="1235" t="s">
        <v>1114</v>
      </c>
    </row>
    <row customHeight="1" ht="11.25">
      <c r="A62" s="1087" t="s">
        <v>1115</v>
      </c>
      <c r="D62" s="1132" t="s">
        <v>137</v>
      </c>
      <c r="E62" s="1108">
        <v>30</v>
      </c>
      <c r="F62" s="1087" t="s">
        <v>1105</v>
      </c>
      <c r="AZ62" s="1134" t="s">
        <v>676</v>
      </c>
      <c r="BE62" s="1134">
        <v>2060</v>
      </c>
      <c r="BL62" s="1235" t="s">
        <v>1116</v>
      </c>
    </row>
    <row customHeight="1" ht="11.25">
      <c r="A63" s="1087" t="s">
        <v>1117</v>
      </c>
      <c r="D63" s="1132" t="s">
        <v>1118</v>
      </c>
      <c r="E63" s="1108">
        <v>30</v>
      </c>
      <c r="F63" s="1087" t="s">
        <v>1105</v>
      </c>
      <c r="AZ63" s="1134" t="s">
        <v>708</v>
      </c>
      <c r="BE63" s="1134">
        <v>2061</v>
      </c>
    </row>
    <row customHeight="1" ht="11.25">
      <c r="A64" s="1087" t="s">
        <v>1119</v>
      </c>
      <c r="D64" s="1132" t="s">
        <v>1120</v>
      </c>
      <c r="E64" s="1108">
        <v>30</v>
      </c>
      <c r="F64" s="1087" t="s">
        <v>1105</v>
      </c>
      <c r="AZ64" s="1134" t="s">
        <v>731</v>
      </c>
      <c r="BE64" s="1134">
        <v>2062</v>
      </c>
    </row>
    <row customHeight="1" ht="11.25">
      <c r="A65" s="1087" t="s">
        <v>1121</v>
      </c>
      <c r="D65" s="1087"/>
      <c r="BE65" s="1134">
        <v>2063</v>
      </c>
    </row>
    <row customHeight="1" ht="11.25">
      <c r="A66" s="1087" t="s">
        <v>1122</v>
      </c>
      <c r="AZ66" s="1080" t="s">
        <v>1123</v>
      </c>
      <c r="BE66" s="1134">
        <v>2064</v>
      </c>
    </row>
    <row customHeight="1" ht="11.25">
      <c r="A67" s="1087" t="s">
        <v>1124</v>
      </c>
      <c r="AZ67" s="1134" t="s">
        <v>613</v>
      </c>
      <c r="BE67" s="1134">
        <v>2065</v>
      </c>
    </row>
    <row customHeight="1" ht="11.25">
      <c r="A68" s="1087" t="s">
        <v>1125</v>
      </c>
      <c r="AZ68" s="1134" t="s">
        <v>642</v>
      </c>
      <c r="BE68" s="1134">
        <v>2066</v>
      </c>
      <c r="BH68" s="1080" t="s">
        <v>1126</v>
      </c>
      <c r="BJ68" s="1080" t="s">
        <v>1127</v>
      </c>
      <c r="BL68" s="1080" t="s">
        <v>1128</v>
      </c>
      <c r="BN68" s="1080" t="s">
        <v>1129</v>
      </c>
    </row>
    <row customHeight="1" ht="11.25">
      <c r="A69" s="1087" t="s">
        <v>1130</v>
      </c>
      <c r="AZ69" s="1134" t="s">
        <v>677</v>
      </c>
      <c r="BE69" s="1134">
        <v>2067</v>
      </c>
      <c r="BH69" s="1081" t="s">
        <v>1131</v>
      </c>
      <c r="BI69" s="1131" t="s">
        <v>109</v>
      </c>
      <c r="BJ69" s="1081" t="s">
        <v>1132</v>
      </c>
      <c r="BK69" s="1131" t="s">
        <v>109</v>
      </c>
      <c r="BL69" s="1081" t="s">
        <v>1133</v>
      </c>
      <c r="BN69" s="1081" t="s">
        <v>1134</v>
      </c>
    </row>
    <row customHeight="1" ht="11.25">
      <c r="A70" s="1087" t="s">
        <v>1135</v>
      </c>
      <c r="AZ70" s="1134" t="s">
        <v>709</v>
      </c>
      <c r="BE70" s="1134">
        <v>2068</v>
      </c>
      <c r="BH70" s="1081" t="s">
        <v>1136</v>
      </c>
      <c r="BJ70" s="1081" t="s">
        <v>1137</v>
      </c>
      <c r="BL70" s="1081" t="s">
        <v>1138</v>
      </c>
      <c r="BN70" s="1081" t="s">
        <v>1139</v>
      </c>
    </row>
    <row customHeight="1" ht="11.25">
      <c r="A71" s="1087" t="s">
        <v>1140</v>
      </c>
      <c r="AZ71" s="1134" t="s">
        <v>711</v>
      </c>
      <c r="BE71" s="1134">
        <v>2069</v>
      </c>
      <c r="BH71" s="1081" t="s">
        <v>1141</v>
      </c>
      <c r="BI71" s="1131" t="s">
        <v>90</v>
      </c>
      <c r="BJ71" s="1081" t="s">
        <v>1142</v>
      </c>
      <c r="BK71" s="1131" t="s">
        <v>90</v>
      </c>
      <c r="BL71" s="1081" t="s">
        <v>1143</v>
      </c>
      <c r="BN71" s="1081" t="s">
        <v>1144</v>
      </c>
    </row>
    <row customHeight="1" ht="11.25">
      <c r="A72" s="1087" t="s">
        <v>1145</v>
      </c>
      <c r="AZ72" s="1134" t="s">
        <v>56</v>
      </c>
      <c r="BE72" s="1134">
        <v>2070</v>
      </c>
      <c r="BH72" s="1081" t="s">
        <v>1146</v>
      </c>
      <c r="BJ72" s="1081" t="s">
        <v>1146</v>
      </c>
      <c r="BL72" s="1081" t="s">
        <v>1146</v>
      </c>
      <c r="BN72" s="1081" t="s">
        <v>1147</v>
      </c>
    </row>
    <row customHeight="1" ht="11.25">
      <c r="A73" s="1087" t="s">
        <v>1148</v>
      </c>
      <c r="BH73" s="1081" t="s">
        <v>1149</v>
      </c>
      <c r="BI73" s="1131" t="s">
        <v>111</v>
      </c>
      <c r="BJ73" s="1081" t="s">
        <v>1150</v>
      </c>
      <c r="BK73" s="1131" t="s">
        <v>111</v>
      </c>
      <c r="BL73" s="1081" t="s">
        <v>1151</v>
      </c>
      <c r="BN73" s="1081" t="s">
        <v>1152</v>
      </c>
    </row>
    <row customHeight="1" ht="11.25">
      <c r="A74" s="1087" t="s">
        <v>1153</v>
      </c>
      <c r="BH74" s="1081" t="s">
        <v>1154</v>
      </c>
      <c r="BJ74" s="1081" t="s">
        <v>1155</v>
      </c>
      <c r="BL74" s="1081" t="s">
        <v>1156</v>
      </c>
      <c r="BN74" s="1081" t="s">
        <v>1157</v>
      </c>
    </row>
    <row customHeight="1" ht="11.25">
      <c r="A75" s="1087" t="s">
        <v>1158</v>
      </c>
      <c r="AZ75" s="1080" t="s">
        <v>1159</v>
      </c>
      <c r="BH75" s="1081" t="s">
        <v>1160</v>
      </c>
      <c r="BJ75" s="1081" t="s">
        <v>1160</v>
      </c>
      <c r="BL75" s="1081" t="s">
        <v>1160</v>
      </c>
    </row>
    <row customHeight="1" ht="11.25">
      <c r="A76" s="1087" t="s">
        <v>1161</v>
      </c>
      <c r="AZ76" s="1134" t="s">
        <v>622</v>
      </c>
      <c r="BH76" s="1081" t="s">
        <v>1162</v>
      </c>
      <c r="BJ76" s="1081" t="s">
        <v>1163</v>
      </c>
      <c r="BL76" s="1081" t="s">
        <v>1164</v>
      </c>
    </row>
    <row customHeight="1" ht="11.25">
      <c r="A77" s="1087" t="s">
        <v>1165</v>
      </c>
      <c r="AZ77" s="1134" t="s">
        <v>652</v>
      </c>
    </row>
    <row customHeight="1" ht="11.25">
      <c r="A78" s="1087" t="s">
        <v>1166</v>
      </c>
      <c r="AZ78" s="1134" t="s">
        <v>684</v>
      </c>
    </row>
    <row customHeight="1" ht="11.25">
      <c r="A79" s="1087" t="s">
        <v>1167</v>
      </c>
      <c r="AZ79" s="1134" t="s">
        <v>715</v>
      </c>
      <c r="BH79" s="1080" t="s">
        <v>1168</v>
      </c>
      <c r="BJ79" s="1080" t="s">
        <v>1169</v>
      </c>
      <c r="BL79" s="1080" t="s">
        <v>1170</v>
      </c>
    </row>
    <row customHeight="1" ht="11.25">
      <c r="A80" s="1087" t="s">
        <v>1171</v>
      </c>
      <c r="AZ80" s="1134" t="s">
        <v>736</v>
      </c>
      <c r="BH80" s="1081" t="s">
        <v>1172</v>
      </c>
      <c r="BJ80" s="1081" t="s">
        <v>1173</v>
      </c>
      <c r="BL80" s="1081" t="s">
        <v>1174</v>
      </c>
    </row>
    <row customHeight="1" ht="11.25">
      <c r="A81" s="1087" t="s">
        <v>1175</v>
      </c>
      <c r="AZ81" s="1134" t="s">
        <v>753</v>
      </c>
      <c r="BH81" s="1081" t="s">
        <v>1176</v>
      </c>
      <c r="BJ81" s="1081" t="s">
        <v>1177</v>
      </c>
      <c r="BL81" s="1081" t="s">
        <v>1178</v>
      </c>
    </row>
    <row customHeight="1" ht="11.25">
      <c r="A82" s="1087" t="s">
        <v>1179</v>
      </c>
      <c r="AZ82" s="1134" t="s">
        <v>767</v>
      </c>
      <c r="BH82" s="1081" t="s">
        <v>1180</v>
      </c>
      <c r="BJ82" s="1081" t="s">
        <v>1181</v>
      </c>
      <c r="BL82" s="1081" t="s">
        <v>1182</v>
      </c>
    </row>
    <row customHeight="1" ht="11.25">
      <c r="A83" s="1087" t="s">
        <v>1183</v>
      </c>
      <c r="BH83" s="1081" t="s">
        <v>1184</v>
      </c>
      <c r="BJ83" s="1081" t="s">
        <v>1185</v>
      </c>
      <c r="BL83" s="1081" t="s">
        <v>1186</v>
      </c>
    </row>
    <row customHeight="1" ht="11.25">
      <c r="A84" s="1087" t="s">
        <v>1187</v>
      </c>
      <c r="AZ84" s="1080" t="s">
        <v>1188</v>
      </c>
    </row>
    <row customHeight="1" ht="11.25">
      <c r="A85" s="1087" t="s">
        <v>1189</v>
      </c>
      <c r="AZ85" s="1134" t="s">
        <v>1190</v>
      </c>
    </row>
    <row customHeight="1" ht="11.25">
      <c r="A86" s="1087" t="s">
        <v>1191</v>
      </c>
      <c r="AZ86" s="1134" t="s">
        <v>1192</v>
      </c>
      <c r="BH86" s="1080" t="s">
        <v>1193</v>
      </c>
      <c r="BJ86" s="1080" t="s">
        <v>1194</v>
      </c>
      <c r="BL86" s="1080" t="s">
        <v>1195</v>
      </c>
    </row>
    <row customHeight="1" ht="11.25">
      <c r="A87" s="1087" t="s">
        <v>1196</v>
      </c>
      <c r="AZ87" s="1134" t="s">
        <v>1197</v>
      </c>
      <c r="BH87" s="1081" t="s">
        <v>1198</v>
      </c>
      <c r="BJ87" s="1081" t="s">
        <v>1199</v>
      </c>
      <c r="BL87" s="1081" t="s">
        <v>1200</v>
      </c>
    </row>
    <row customHeight="1" ht="11.25">
      <c r="AZ88" s="1652"/>
      <c r="BH88" s="1081" t="s">
        <v>1201</v>
      </c>
      <c r="BJ88" s="1081" t="s">
        <v>1202</v>
      </c>
      <c r="BL88" s="1081" t="s">
        <v>1203</v>
      </c>
    </row>
    <row customHeight="1" ht="11.25">
      <c r="AZ89" s="1080" t="s">
        <v>1204</v>
      </c>
    </row>
    <row customHeight="1" ht="11.25">
      <c r="AZ90" s="1134" t="s">
        <v>1073</v>
      </c>
    </row>
    <row customHeight="1" ht="11.25">
      <c r="AZ91" s="1134" t="s">
        <v>1205</v>
      </c>
      <c r="BH91" s="1080" t="s">
        <v>1206</v>
      </c>
      <c r="BJ91" s="1080" t="s">
        <v>1207</v>
      </c>
      <c r="BL91" s="1080" t="s">
        <v>1208</v>
      </c>
    </row>
    <row customHeight="1" ht="11.25">
      <c r="AZ92" s="1134" t="s">
        <v>1209</v>
      </c>
      <c r="BH92" s="1081" t="s">
        <v>1210</v>
      </c>
      <c r="BJ92" s="1081" t="s">
        <v>1211</v>
      </c>
      <c r="BL92" s="1081" t="s">
        <v>1212</v>
      </c>
    </row>
    <row customHeight="1" ht="11.25">
      <c r="AZ93" s="1134" t="s">
        <v>1213</v>
      </c>
      <c r="BH93" s="1081" t="s">
        <v>1214</v>
      </c>
      <c r="BJ93" s="1081" t="s">
        <v>1215</v>
      </c>
      <c r="BL93" s="1081" t="s">
        <v>1216</v>
      </c>
    </row>
    <row customHeight="1" ht="11.25">
      <c r="AZ94" s="1134" t="s">
        <v>1217</v>
      </c>
    </row>
    <row r="96" customHeight="1" ht="11.25">
      <c r="AZ96" s="1080" t="s">
        <v>1218</v>
      </c>
      <c r="BH96" s="1080" t="s">
        <v>1219</v>
      </c>
      <c r="BJ96" s="1080" t="s">
        <v>1220</v>
      </c>
      <c r="BL96" s="1080" t="s">
        <v>1221</v>
      </c>
      <c r="BN96" s="1080" t="s">
        <v>1222</v>
      </c>
    </row>
    <row customHeight="1" ht="11.25">
      <c r="AZ97" s="1134" t="s">
        <v>1223</v>
      </c>
      <c r="BH97" s="1081" t="s">
        <v>1224</v>
      </c>
      <c r="BJ97" s="1081" t="s">
        <v>1225</v>
      </c>
      <c r="BL97" s="1081" t="s">
        <v>1226</v>
      </c>
      <c r="BN97" s="1081" t="s">
        <v>1227</v>
      </c>
    </row>
    <row customHeight="1" ht="11.25">
      <c r="AZ98" s="1134" t="s">
        <v>1228</v>
      </c>
      <c r="BH98" s="1081" t="s">
        <v>1229</v>
      </c>
      <c r="BJ98" s="1081" t="s">
        <v>1230</v>
      </c>
      <c r="BL98" s="1081" t="s">
        <v>1231</v>
      </c>
      <c r="BN98" s="1081" t="s">
        <v>1232</v>
      </c>
    </row>
    <row customHeight="1" ht="11.25">
      <c r="AZ99" s="1134" t="s">
        <v>1233</v>
      </c>
      <c r="BH99" s="1081" t="s">
        <v>1234</v>
      </c>
      <c r="BJ99" s="1081" t="s">
        <v>1235</v>
      </c>
      <c r="BL99" s="1081" t="s">
        <v>1236</v>
      </c>
      <c r="BN99" s="1081" t="s">
        <v>1237</v>
      </c>
    </row>
    <row customHeight="1" ht="11.25">
      <c r="BJ100" s="1081" t="s">
        <v>812</v>
      </c>
      <c r="BL100" s="1081" t="s">
        <v>812</v>
      </c>
      <c r="BN100" s="1081" t="s">
        <v>1238</v>
      </c>
    </row>
    <row customHeight="1" ht="11.25">
      <c r="AZ101" s="1738" t="s">
        <v>1239</v>
      </c>
      <c r="BN101" s="1081" t="s">
        <v>1240</v>
      </c>
    </row>
    <row customHeight="1" ht="11.25">
      <c r="AZ102" s="1134" t="s">
        <v>1241</v>
      </c>
      <c r="BN102" s="1081" t="s">
        <v>1242</v>
      </c>
    </row>
    <row customHeight="1" ht="11.25">
      <c r="AZ103" s="1134" t="s">
        <v>1243</v>
      </c>
      <c r="BN103" s="1081" t="s">
        <v>1244</v>
      </c>
    </row>
    <row customHeight="1" ht="11.25">
      <c r="AZ104" s="1134" t="s">
        <v>1245</v>
      </c>
      <c r="BN104" s="1081" t="s">
        <v>1246</v>
      </c>
    </row>
    <row r="107" customHeight="1" ht="11.25">
      <c r="BH107" s="1080" t="s">
        <v>1247</v>
      </c>
      <c r="BJ107" s="1080" t="s">
        <v>1248</v>
      </c>
      <c r="BL107" s="1080" t="s">
        <v>1249</v>
      </c>
      <c r="BN107" s="1080" t="s">
        <v>1250</v>
      </c>
    </row>
    <row customHeight="1" ht="11.25">
      <c r="BH108" s="1081" t="s">
        <v>1251</v>
      </c>
      <c r="BJ108" s="1081" t="s">
        <v>1252</v>
      </c>
      <c r="BL108" s="1081" t="s">
        <v>898</v>
      </c>
      <c r="BN108" s="1081" t="s">
        <v>1253</v>
      </c>
    </row>
    <row customHeight="1" ht="11.25">
      <c r="BH109" s="1081" t="s">
        <v>1254</v>
      </c>
    </row>
    <row customHeight="1" ht="11.25">
      <c r="BH110" s="1081" t="s">
        <v>1254</v>
      </c>
    </row>
    <row r="114" customHeight="1" ht="11.25">
      <c r="BH114" s="1080" t="s">
        <v>1255</v>
      </c>
    </row>
    <row customHeight="1" ht="11.25">
      <c r="BH115" s="1081" t="s">
        <v>609</v>
      </c>
    </row>
    <row customHeight="1" ht="11.25">
      <c r="BH116" s="1081" t="s">
        <v>638</v>
      </c>
    </row>
    <row customHeight="1" ht="11.25">
      <c r="BH117" s="1081" t="s">
        <v>673</v>
      </c>
    </row>
    <row customHeight="1" ht="11.25">
      <c r="BH118" s="1081" t="s">
        <v>706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366311-3F14-A552-4A74-C2AF12EF052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38" width="43.140625"/>
    <col min="4" max="5" style="3938" width="36.421875" customWidth="1"/>
    <col min="6" max="8" style="3939" width="36.421875" customWidth="1"/>
  </cols>
  <sheetData>
    <row customHeight="1" ht="9">
      <c r="A1" s="856" t="s">
        <v>1256</v>
      </c>
      <c r="B1" s="856"/>
      <c r="C1" s="995" t="s">
        <v>1257</v>
      </c>
      <c r="D1" s="993" t="s">
        <v>597</v>
      </c>
      <c r="E1" s="993" t="s">
        <v>995</v>
      </c>
      <c r="F1" s="993" t="s">
        <v>599</v>
      </c>
      <c r="G1" s="993" t="s">
        <v>1010</v>
      </c>
      <c r="H1" s="993" t="s">
        <v>1018</v>
      </c>
    </row>
    <row customHeight="1" ht="9">
      <c r="A2" s="996" t="s">
        <v>1258</v>
      </c>
      <c r="B2" s="996"/>
      <c r="C2" s="997" t="str">
        <f>INDEX(TEMPLATE_NUMBER_FORM_LIST,MATCH(TEMPLATE_SPHERE,TEMPLATE_SPHERE_LIST,0))</f>
        <v>10</v>
      </c>
      <c r="D2" s="996" t="s">
        <v>864</v>
      </c>
      <c r="E2" s="996" t="s">
        <v>156</v>
      </c>
      <c r="F2" s="998" t="s">
        <v>156</v>
      </c>
      <c r="G2" s="996" t="s">
        <v>156</v>
      </c>
      <c r="H2" s="999"/>
    </row>
    <row customHeight="1" ht="63">
      <c r="A3" s="856"/>
      <c r="B3" s="856" t="s">
        <v>109</v>
      </c>
      <c r="C3" s="99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97" t="s">
        <v>1259</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98"/>
      <c r="G3" s="999"/>
      <c r="H3" s="856"/>
    </row>
    <row customHeight="1" ht="54">
      <c r="A4" s="856" t="s">
        <v>1260</v>
      </c>
      <c r="B4" s="856" t="s">
        <v>110</v>
      </c>
      <c r="C4" s="997" t="str">
        <f>IF(TEMPLATE_SPHERE="HEAT",D4,IF(TEMPLATE_SPHERE="TKO",H4,E4))</f>
        <v>Форма 1. Информация о регулируемой организации, осуществляющей водоотведение
(далее – регулируемая организация) (общая информация)</v>
      </c>
      <c r="D4" s="996" t="s">
        <v>1261</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водоотведение
(далее – регулируемая организация) (общая информация)</v>
      </c>
      <c r="F4" s="996"/>
      <c r="G4" s="996"/>
      <c r="H4" s="856" t="s">
        <v>1262</v>
      </c>
    </row>
    <row customHeight="1" ht="171">
      <c r="A5" s="856" t="s">
        <v>1263</v>
      </c>
      <c r="B5" s="856" t="s">
        <v>90</v>
      </c>
      <c r="C5" s="99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6" t="s">
        <v>1264</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9"/>
      <c r="G5" s="999"/>
      <c r="H5" s="856" t="s">
        <v>1265</v>
      </c>
    </row>
    <row customHeight="1" ht="90">
      <c r="A6" s="856" t="s">
        <v>1266</v>
      </c>
      <c r="B6" s="856" t="s">
        <v>91</v>
      </c>
      <c r="C6" s="99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D6" s="856" t="s">
        <v>1267</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6" s="856"/>
      <c r="G6" s="856"/>
      <c r="H6" s="999"/>
    </row>
    <row customHeight="1" ht="45">
      <c r="A7" s="856" t="s">
        <v>1268</v>
      </c>
      <c r="B7" s="856" t="s">
        <v>111</v>
      </c>
      <c r="C7" s="99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6" t="s">
        <v>1269</v>
      </c>
      <c r="E7" s="856" t="s">
        <v>1270</v>
      </c>
      <c r="F7" s="999"/>
      <c r="G7" s="999"/>
      <c r="H7" s="999"/>
    </row>
    <row customHeight="1" ht="108">
      <c r="A8" s="856" t="s">
        <v>1271</v>
      </c>
      <c r="B8" s="856" t="s">
        <v>92</v>
      </c>
      <c r="C8" s="99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56" t="s">
        <v>1272</v>
      </c>
      <c r="E8" s="856" t="s">
        <v>1273</v>
      </c>
      <c r="F8" s="999"/>
      <c r="G8" s="999"/>
      <c r="H8" s="999"/>
    </row>
    <row customHeight="1" ht="99">
      <c r="A9" s="856" t="s">
        <v>1274</v>
      </c>
      <c r="B9" s="856"/>
      <c r="C9" s="856" t="s">
        <v>1275</v>
      </c>
      <c r="D9" s="856"/>
      <c r="E9" s="856"/>
      <c r="F9" s="999"/>
      <c r="G9" s="999"/>
      <c r="H9" s="999"/>
    </row>
    <row customHeight="1" ht="126">
      <c r="A10" s="856" t="s">
        <v>1276</v>
      </c>
      <c r="B10" s="856"/>
      <c r="C10" s="856" t="s">
        <v>1277</v>
      </c>
      <c r="D10" s="856"/>
      <c r="E10" s="856"/>
      <c r="F10" s="999"/>
      <c r="G10" s="999"/>
      <c r="H10" s="999"/>
    </row>
    <row customHeight="1" ht="108">
      <c r="A11" s="856" t="s">
        <v>1278</v>
      </c>
      <c r="B11" s="856"/>
      <c r="C11" s="856" t="s">
        <v>1279</v>
      </c>
      <c r="D11" s="856"/>
      <c r="E11" s="856"/>
      <c r="F11" s="999"/>
      <c r="G11" s="999"/>
      <c r="H11" s="999"/>
    </row>
    <row customHeight="1" ht="54">
      <c r="A12" s="856" t="s">
        <v>1280</v>
      </c>
      <c r="B12" s="856"/>
      <c r="C12" s="856" t="s">
        <v>1281</v>
      </c>
      <c r="D12" s="856"/>
      <c r="E12" s="856"/>
      <c r="F12" s="999"/>
      <c r="G12" s="999"/>
      <c r="H12" s="999"/>
    </row>
    <row customHeight="1" ht="45">
      <c r="A13" s="856" t="s">
        <v>1282</v>
      </c>
      <c r="B13" s="856"/>
      <c r="C13" s="856" t="s">
        <v>1283</v>
      </c>
      <c r="D13" s="856"/>
      <c r="E13" s="856"/>
      <c r="F13" s="999"/>
      <c r="G13" s="999"/>
      <c r="H13" s="999"/>
    </row>
    <row customHeight="1" ht="117">
      <c r="A14" s="856" t="s">
        <v>1284</v>
      </c>
      <c r="B14" s="856"/>
      <c r="C14" s="856" t="s">
        <v>1285</v>
      </c>
      <c r="D14" s="856"/>
      <c r="E14" s="856"/>
      <c r="F14" s="999"/>
      <c r="G14" s="999"/>
      <c r="H14" s="999"/>
    </row>
    <row customHeight="1" ht="117">
      <c r="A15" s="856" t="s">
        <v>1286</v>
      </c>
      <c r="B15" s="856"/>
      <c r="C15" s="856" t="s">
        <v>1287</v>
      </c>
      <c r="D15" s="856"/>
      <c r="E15" s="856"/>
      <c r="F15" s="999"/>
      <c r="G15" s="999"/>
      <c r="H15" s="999"/>
    </row>
    <row customHeight="1" ht="63">
      <c r="A16" s="856" t="s">
        <v>1288</v>
      </c>
      <c r="B16" s="856"/>
      <c r="C16" s="856" t="s">
        <v>1289</v>
      </c>
      <c r="D16" s="856"/>
      <c r="E16" s="856"/>
      <c r="F16" s="999"/>
      <c r="G16" s="999"/>
      <c r="H16" s="999"/>
    </row>
    <row customHeight="1" ht="63">
      <c r="A17" s="856" t="s">
        <v>1290</v>
      </c>
      <c r="B17" s="856"/>
      <c r="C17" s="997" t="s">
        <v>1291</v>
      </c>
      <c r="D17" s="856"/>
      <c r="E17" s="856"/>
      <c r="F17" s="999"/>
      <c r="G17" s="999"/>
      <c r="H17" s="999"/>
    </row>
    <row customHeight="1" ht="27">
      <c r="A18" s="856" t="s">
        <v>1292</v>
      </c>
      <c r="B18" s="856"/>
      <c r="C18" s="997" t="s">
        <v>1293</v>
      </c>
      <c r="D18" s="856"/>
      <c r="E18" s="856"/>
      <c r="F18" s="999"/>
      <c r="G18" s="999"/>
      <c r="H18" s="999"/>
    </row>
    <row customHeight="1" ht="54">
      <c r="A19" s="856" t="s">
        <v>1294</v>
      </c>
      <c r="B19" s="856"/>
      <c r="C19" s="997" t="s">
        <v>1295</v>
      </c>
      <c r="D19" s="856"/>
      <c r="E19" s="856"/>
      <c r="F19" s="999"/>
      <c r="G19" s="999"/>
      <c r="H19" s="999"/>
    </row>
    <row customHeight="1" ht="36">
      <c r="A20" s="856" t="s">
        <v>1296</v>
      </c>
      <c r="B20" s="856"/>
      <c r="C20" s="997" t="s">
        <v>1297</v>
      </c>
      <c r="D20" s="856"/>
      <c r="E20" s="856"/>
      <c r="F20" s="999"/>
      <c r="G20" s="999"/>
      <c r="H20" s="999"/>
    </row>
    <row customHeight="1" ht="28.5">
      <c r="A21" s="856" t="s">
        <v>1298</v>
      </c>
      <c r="B21" s="856"/>
      <c r="C21" s="997" t="s">
        <v>1299</v>
      </c>
      <c r="D21" s="856"/>
      <c r="E21" s="856"/>
      <c r="F21" s="999"/>
      <c r="G21" s="999"/>
      <c r="H21" s="999"/>
    </row>
    <row customHeight="1" ht="28.5">
      <c r="A22" s="856" t="s">
        <v>1300</v>
      </c>
      <c r="B22" s="856"/>
      <c r="C22" s="997" t="s">
        <v>1301</v>
      </c>
      <c r="D22" s="856"/>
      <c r="E22" s="856"/>
      <c r="F22" s="999"/>
      <c r="G22" s="999"/>
      <c r="H22" s="999"/>
    </row>
    <row customHeight="1" ht="28.5">
      <c r="A23" s="856" t="s">
        <v>1302</v>
      </c>
      <c r="B23" s="856"/>
      <c r="C23" s="997" t="s">
        <v>1303</v>
      </c>
      <c r="D23" s="856"/>
      <c r="E23" s="856"/>
      <c r="F23" s="999"/>
      <c r="G23" s="999"/>
      <c r="H23" s="999"/>
    </row>
    <row customHeight="1" ht="28.5">
      <c r="A24" s="856" t="s">
        <v>1304</v>
      </c>
      <c r="B24" s="856"/>
      <c r="C24" s="997" t="s">
        <v>1305</v>
      </c>
      <c r="D24" s="856"/>
      <c r="E24" s="856"/>
      <c r="F24" s="999"/>
      <c r="G24" s="999"/>
      <c r="H24" s="999"/>
    </row>
    <row customHeight="1" ht="28.5">
      <c r="A25" s="856" t="s">
        <v>1306</v>
      </c>
      <c r="B25" s="856"/>
      <c r="C25" s="997" t="s">
        <v>1307</v>
      </c>
      <c r="D25" s="856"/>
      <c r="E25" s="856"/>
      <c r="F25" s="999"/>
      <c r="G25" s="999"/>
      <c r="H25" s="999"/>
    </row>
    <row customHeight="1" ht="28.5">
      <c r="A26" s="856" t="s">
        <v>1308</v>
      </c>
      <c r="B26" s="856"/>
      <c r="C26" s="997" t="s">
        <v>1309</v>
      </c>
      <c r="D26" s="856"/>
      <c r="E26" s="856"/>
      <c r="F26" s="999"/>
      <c r="G26" s="999"/>
      <c r="H26" s="999"/>
    </row>
    <row customHeight="1" ht="28.5">
      <c r="A27" s="856" t="s">
        <v>1310</v>
      </c>
      <c r="B27" s="856"/>
      <c r="C27" s="997" t="s">
        <v>1311</v>
      </c>
      <c r="D27" s="856"/>
      <c r="E27" s="856"/>
      <c r="F27" s="999"/>
      <c r="G27" s="999"/>
      <c r="H27" s="999"/>
    </row>
    <row customHeight="1" ht="28.5">
      <c r="A28" s="856" t="s">
        <v>1312</v>
      </c>
      <c r="B28" s="856"/>
      <c r="C28" s="997" t="s">
        <v>1313</v>
      </c>
      <c r="D28" s="856"/>
      <c r="E28" s="856"/>
      <c r="F28" s="999"/>
      <c r="G28" s="999"/>
      <c r="H28" s="999"/>
    </row>
    <row customHeight="1" ht="126">
      <c r="A29" s="856" t="s">
        <v>1314</v>
      </c>
      <c r="B29" s="856" t="s">
        <v>965</v>
      </c>
      <c r="C29" s="997" t="str">
        <f>IF(TEMPLATE_SPHERE="HEAT",D29,IF(TEMPLATE_SPHERE="TKO",H29,E29))</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D29" s="856" t="s">
        <v>1315</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F29" s="999"/>
      <c r="G29" s="999"/>
      <c r="H29" s="856" t="s">
        <v>1316</v>
      </c>
    </row>
    <row customHeight="1" ht="36">
      <c r="A30" s="856" t="s">
        <v>1317</v>
      </c>
      <c r="B30" s="856"/>
      <c r="C30" s="99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D30" s="856" t="s">
        <v>1318</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901</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1844956-B37E-B4E1-1A7A-8614B9F01E7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38" width="9.140625"/>
    <col min="3" max="7" style="3982" width="8.00390625" customWidth="1"/>
    <col min="8" max="12" style="3982" width="8.57421875" customWidth="1"/>
    <col min="13" max="14" style="3982" width="27.7109375" customWidth="1"/>
    <col min="15" max="19" style="3982" width="5.140625" customWidth="1"/>
    <col min="20" max="24" style="3982" width="27.7109375" customWidth="1"/>
    <col min="25" max="25" style="3983" width="1.8515625" customWidth="1"/>
    <col min="26" max="26" style="3938" width="27.7109375" customWidth="1"/>
    <col min="27" max="27" style="3984" width="27.7109375" customWidth="1"/>
    <col min="28" max="29" style="3938" width="27.7109375" customWidth="1"/>
    <col min="30" max="30" style="3938" width="3.8515625" customWidth="1"/>
    <col min="31" max="34" style="3938" width="9.140625"/>
  </cols>
  <sheetData>
    <row s="3940" customFormat="1" customHeight="1" ht="18">
      <c r="A1" s="910"/>
      <c r="B1" s="910"/>
      <c r="C1" s="910" t="s">
        <v>1319</v>
      </c>
      <c r="D1" s="910"/>
      <c r="E1" s="910"/>
      <c r="F1" s="910"/>
      <c r="G1" s="910"/>
      <c r="H1" s="910" t="s">
        <v>1320</v>
      </c>
      <c r="I1" s="910"/>
      <c r="J1" s="910"/>
      <c r="K1" s="910"/>
      <c r="L1" s="910"/>
      <c r="M1" s="910" t="s">
        <v>1321</v>
      </c>
      <c r="N1" s="910" t="s">
        <v>1322</v>
      </c>
      <c r="O1" s="2273" t="s">
        <v>1323</v>
      </c>
      <c r="P1" s="2273"/>
      <c r="Q1" s="2273"/>
      <c r="R1" s="2273"/>
      <c r="S1" s="2273"/>
      <c r="T1" s="2273" t="s">
        <v>1321</v>
      </c>
      <c r="U1" s="2273"/>
      <c r="V1" s="2273"/>
      <c r="W1" s="2273"/>
      <c r="X1" s="2273"/>
      <c r="Y1" s="1012"/>
      <c r="Z1" s="2273" t="s">
        <v>1324</v>
      </c>
      <c r="AA1" s="2273"/>
      <c r="AB1" s="2273"/>
      <c r="AC1" s="2273"/>
      <c r="AD1" s="2273"/>
    </row>
    <row customHeight="1" ht="18">
      <c r="A2" s="856"/>
      <c r="B2" s="856"/>
      <c r="C2" s="851" t="s">
        <v>597</v>
      </c>
      <c r="D2" s="851" t="s">
        <v>995</v>
      </c>
      <c r="E2" s="851" t="s">
        <v>599</v>
      </c>
      <c r="F2" s="851" t="s">
        <v>1010</v>
      </c>
      <c r="G2" s="851" t="s">
        <v>1018</v>
      </c>
      <c r="H2" s="853"/>
      <c r="I2" s="853"/>
      <c r="J2" s="853"/>
      <c r="K2" s="853"/>
      <c r="L2" s="853"/>
      <c r="M2" s="853"/>
      <c r="N2" s="853"/>
      <c r="O2" s="851" t="s">
        <v>597</v>
      </c>
      <c r="P2" s="851" t="s">
        <v>995</v>
      </c>
      <c r="Q2" s="851" t="s">
        <v>1010</v>
      </c>
      <c r="R2" s="851" t="s">
        <v>599</v>
      </c>
      <c r="S2" s="851" t="s">
        <v>1018</v>
      </c>
      <c r="T2" s="851" t="s">
        <v>597</v>
      </c>
      <c r="U2" s="851" t="s">
        <v>995</v>
      </c>
      <c r="V2" s="851" t="s">
        <v>1010</v>
      </c>
      <c r="W2" s="851" t="s">
        <v>599</v>
      </c>
      <c r="X2" s="851" t="s">
        <v>1018</v>
      </c>
      <c r="Y2" s="851"/>
      <c r="Z2" s="851" t="s">
        <v>597</v>
      </c>
      <c r="AA2" s="860" t="s">
        <v>995</v>
      </c>
      <c r="AB2" s="851" t="s">
        <v>1010</v>
      </c>
      <c r="AC2" s="851" t="s">
        <v>599</v>
      </c>
      <c r="AD2" s="851" t="s">
        <v>1018</v>
      </c>
    </row>
    <row customHeight="1" ht="162">
      <c r="A3" s="855" t="s">
        <v>23</v>
      </c>
      <c r="B3" s="855"/>
      <c r="C3" s="2277" t="s">
        <v>1325</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53"/>
      <c r="P3" s="853"/>
      <c r="Q3" s="853"/>
      <c r="R3" s="853"/>
      <c r="S3" s="853"/>
      <c r="T3" s="853"/>
      <c r="U3" s="853"/>
      <c r="V3" s="853"/>
      <c r="W3" s="853"/>
      <c r="X3" s="853"/>
      <c r="Y3" s="1013"/>
      <c r="Z3" s="856" t="s">
        <v>1326</v>
      </c>
      <c r="AA3" s="853" t="s">
        <v>1327</v>
      </c>
      <c r="AB3" s="856" t="s">
        <v>1328</v>
      </c>
      <c r="AC3" s="856" t="s">
        <v>1329</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952</v>
      </c>
      <c r="D11" s="2280" t="s">
        <v>948</v>
      </c>
      <c r="E11" s="2280" t="s">
        <v>1056</v>
      </c>
      <c r="F11" s="2280" t="s">
        <v>1330</v>
      </c>
      <c r="G11" s="2280"/>
      <c r="H11" s="910" t="s">
        <v>1331</v>
      </c>
      <c r="I11" s="910"/>
      <c r="J11" s="910"/>
      <c r="K11" s="910"/>
      <c r="L11" s="910"/>
      <c r="M11" s="854" t="str">
        <f>IF(TEMPLATE_SPHERE="HEAT",T11,U11)</f>
        <v>Количество поданных заявлений </v>
      </c>
      <c r="N11" s="85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53"/>
      <c r="P11" s="853"/>
      <c r="Q11" s="853"/>
      <c r="R11" s="853"/>
      <c r="S11" s="853"/>
      <c r="T11" s="853" t="s">
        <v>1332</v>
      </c>
      <c r="U11" s="853" t="s">
        <v>1333</v>
      </c>
      <c r="V11" s="853"/>
      <c r="W11" s="853"/>
      <c r="X11" s="853"/>
      <c r="Y11" s="1013"/>
      <c r="Z11" s="856" t="s">
        <v>1334</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6"/>
      <c r="AC11" s="856"/>
      <c r="AD11" s="856"/>
    </row>
    <row customHeight="1" ht="45">
      <c r="A12" s="2274"/>
      <c r="B12" s="911">
        <v>2</v>
      </c>
      <c r="C12" s="2281"/>
      <c r="D12" s="2281"/>
      <c r="E12" s="2281"/>
      <c r="F12" s="2281"/>
      <c r="G12" s="2281"/>
      <c r="H12" s="910" t="s">
        <v>1335</v>
      </c>
      <c r="I12" s="910"/>
      <c r="J12" s="910"/>
      <c r="K12" s="910"/>
      <c r="L12" s="910"/>
      <c r="M12" s="854" t="str">
        <f>IF(TEMPLATE_SPHERE="HEAT",T12,U12)</f>
        <v>Количество исполненных заявлений </v>
      </c>
      <c r="N12" s="85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53"/>
      <c r="P12" s="853"/>
      <c r="Q12" s="853"/>
      <c r="R12" s="853"/>
      <c r="S12" s="853"/>
      <c r="T12" s="853" t="s">
        <v>1336</v>
      </c>
      <c r="U12" s="853" t="s">
        <v>1337</v>
      </c>
      <c r="V12" s="853"/>
      <c r="W12" s="853"/>
      <c r="X12" s="853"/>
      <c r="Y12" s="1013"/>
      <c r="Z12" s="856" t="s">
        <v>1338</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6"/>
      <c r="AC12" s="856"/>
      <c r="AD12" s="856"/>
    </row>
    <row customHeight="1" ht="72">
      <c r="A13" s="2274"/>
      <c r="B13" s="911">
        <v>3</v>
      </c>
      <c r="C13" s="2281"/>
      <c r="D13" s="2281"/>
      <c r="E13" s="2281"/>
      <c r="F13" s="2281"/>
      <c r="G13" s="2281"/>
      <c r="H13" s="2273" t="s">
        <v>1339</v>
      </c>
      <c r="I13" s="910"/>
      <c r="J13" s="910"/>
      <c r="K13" s="910"/>
      <c r="L13" s="910"/>
      <c r="M13" s="854" t="str">
        <f>IF(TEMPLATE_SPHERE="HEAT",T13,U13)</f>
        <v>Количество заявлений о заключении договоров о подключении (технологическом присоединении)</v>
      </c>
      <c r="N13" s="85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53"/>
      <c r="P13" s="854"/>
      <c r="Q13" s="854"/>
      <c r="R13" s="854"/>
      <c r="S13" s="853"/>
      <c r="T13" s="853" t="s">
        <v>1340</v>
      </c>
      <c r="U13" s="854" t="s">
        <v>1341</v>
      </c>
      <c r="V13" s="854"/>
      <c r="W13" s="854"/>
      <c r="X13" s="853"/>
      <c r="Y13" s="1013"/>
      <c r="Z13" s="856" t="s">
        <v>1342</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1343</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54"/>
      <c r="W14" s="854"/>
      <c r="X14" s="853"/>
      <c r="Y14" s="1013"/>
      <c r="Z14" s="856" t="s">
        <v>1344</v>
      </c>
      <c r="AA14" s="859" t="s">
        <v>1344</v>
      </c>
      <c r="AB14" s="856"/>
      <c r="AC14" s="856"/>
      <c r="AD14" s="856"/>
    </row>
    <row customHeight="1" ht="108">
      <c r="A15" s="2274"/>
      <c r="B15" s="911">
        <v>5</v>
      </c>
      <c r="C15" s="2281"/>
      <c r="D15" s="2281"/>
      <c r="E15" s="2281"/>
      <c r="F15" s="2281"/>
      <c r="G15" s="2281"/>
      <c r="H15" s="2275" t="s">
        <v>1345</v>
      </c>
      <c r="I15" s="912"/>
      <c r="J15" s="912"/>
      <c r="K15" s="912"/>
      <c r="L15" s="912"/>
      <c r="M15" s="85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53"/>
      <c r="P15" s="854"/>
      <c r="Q15" s="854"/>
      <c r="R15" s="854"/>
      <c r="S15" s="853"/>
      <c r="T15" s="853" t="s">
        <v>1346</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54"/>
      <c r="W15" s="854"/>
      <c r="X15" s="853"/>
      <c r="Y15" s="1013"/>
      <c r="Z15" s="856" t="s">
        <v>1347</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53"/>
      <c r="P16" s="854"/>
      <c r="Q16" s="854"/>
      <c r="R16" s="854"/>
      <c r="S16" s="853"/>
      <c r="T16" s="853"/>
      <c r="U16" s="854"/>
      <c r="V16" s="854"/>
      <c r="W16" s="854"/>
      <c r="X16" s="853"/>
      <c r="Y16" s="1013"/>
      <c r="Z16" s="856" t="s">
        <v>1347</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1060</v>
      </c>
      <c r="B18" s="911">
        <v>1</v>
      </c>
      <c r="C18" s="853" t="s">
        <v>1331</v>
      </c>
      <c r="D18" s="980" t="s">
        <v>1331</v>
      </c>
      <c r="E18" s="853" t="s">
        <v>1331</v>
      </c>
      <c r="F18" s="853" t="s">
        <v>1331</v>
      </c>
      <c r="G18" s="853"/>
      <c r="H18" s="1015"/>
      <c r="I18" s="1018">
        <f>INDEX(TEMPLATE_NUMBER_POINT_FHD,B18,MATCH(TEMPLATE_SPHERE,TEMPLATE_SPHERE_LIST_FOR_NOTE,0))</f>
        <v>1</v>
      </c>
      <c r="J18" s="1018" t="str">
        <f>INDEX(TEMPLATE_DATA_POINT_FHD,B18,MATCH(TEMPLATE_SPHERE,TEMPLATE_SPHERE_LIST_FOR_NOTE,0))</f>
        <v>Выручка от регулируемых видов деятельности в сфере водоотведения</v>
      </c>
      <c r="K18" s="1018" t="str">
        <f>INDEX(TEMPLATE_NOTE_POINT_FHD,B18,MATCH(TEMPLATE_SPHERE,TEMPLATE_SPHERE_LIST_FOR_NOTE,0))</f>
        <v>Указывается выручка с распределением по видам деятельности.</v>
      </c>
      <c r="L18" s="854">
        <f>IF(I18=0,"",I18)</f>
        <v>1</v>
      </c>
      <c r="M18" s="854" t="str">
        <f>IF(J18=0,"",J18)</f>
        <v>Выручка от регулируемых видов деятельности в сфере водоотведения</v>
      </c>
      <c r="N18" s="854" t="str">
        <f>IF(K18=0,"",K18)</f>
        <v>Указывается выручка с распределением по видам деятельности.</v>
      </c>
      <c r="O18" s="970">
        <v>1</v>
      </c>
      <c r="P18" s="970">
        <v>1</v>
      </c>
      <c r="Q18" s="970">
        <v>1</v>
      </c>
      <c r="R18" s="970">
        <v>1</v>
      </c>
      <c r="S18" s="970"/>
      <c r="T18" s="977" t="s">
        <v>1348</v>
      </c>
      <c r="U18" s="856" t="s">
        <v>1349</v>
      </c>
      <c r="V18" s="856" t="s">
        <v>1350</v>
      </c>
      <c r="W18" s="856" t="s">
        <v>1351</v>
      </c>
      <c r="X18" s="853"/>
      <c r="Y18" s="1013"/>
      <c r="Z18" s="856" t="s">
        <v>1352</v>
      </c>
      <c r="AA18" s="859" t="s">
        <v>1353</v>
      </c>
      <c r="AB18" s="859" t="s">
        <v>1353</v>
      </c>
      <c r="AC18" s="859" t="s">
        <v>1353</v>
      </c>
      <c r="AD18" s="856"/>
    </row>
    <row customHeight="1" ht="36">
      <c r="A19" s="855"/>
      <c r="B19" s="911">
        <v>2</v>
      </c>
      <c r="C19" s="853" t="s">
        <v>1335</v>
      </c>
      <c r="D19" s="980" t="s">
        <v>1335</v>
      </c>
      <c r="E19" s="853" t="s">
        <v>1335</v>
      </c>
      <c r="F19" s="853" t="s">
        <v>1335</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регулируемым видам деятельности в сфере водоотведения, включая:</v>
      </c>
      <c r="N19" s="854" t="str">
        <f>IF(K19=0,"",K19)</f>
        <v>Указывается суммарная себестоимость производимых товаров.</v>
      </c>
      <c r="O19" s="970">
        <v>2</v>
      </c>
      <c r="P19" s="970">
        <v>2</v>
      </c>
      <c r="Q19" s="970">
        <v>2</v>
      </c>
      <c r="R19" s="970">
        <v>2</v>
      </c>
      <c r="S19" s="970"/>
      <c r="T19" s="977" t="s">
        <v>1354</v>
      </c>
      <c r="U19" s="856" t="s">
        <v>1355</v>
      </c>
      <c r="V19" s="856" t="s">
        <v>1356</v>
      </c>
      <c r="W19" s="856" t="s">
        <v>1357</v>
      </c>
      <c r="X19" s="853"/>
      <c r="Y19" s="1013"/>
      <c r="Z19" s="856" t="s">
        <v>1358</v>
      </c>
      <c r="AA19" s="859" t="s">
        <v>1358</v>
      </c>
      <c r="AB19" s="859" t="s">
        <v>1358</v>
      </c>
      <c r="AC19" s="859" t="s">
        <v>1358</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оплату услуг по приему, транспортировке и очистке сточных вод другими организациями</v>
      </c>
      <c r="K20" s="1018">
        <f>INDEX(TEMPLATE_NOTE_POINT_FHD,B20,MATCH(TEMPLATE_SPHERE,TEMPLATE_SPHERE_LIST_FOR_NOTE,0))</f>
        <v>0</v>
      </c>
      <c r="L20" s="854" t="str">
        <f>IF(I20=0,"",I20)</f>
        <v>2.1</v>
      </c>
      <c r="M20" s="854" t="str">
        <f>IF(J20=0,"",J20)</f>
        <v>Расходы на оплату услуг по приему, транспортировке и очистке сточных вод другими организациями</v>
      </c>
      <c r="N20" s="854" t="str">
        <f>IF(K20=0,"",K20)</f>
        <v/>
      </c>
      <c r="O20" s="970" t="s">
        <v>456</v>
      </c>
      <c r="P20" s="970" t="s">
        <v>456</v>
      </c>
      <c r="Q20" s="970" t="s">
        <v>456</v>
      </c>
      <c r="R20" s="970" t="s">
        <v>456</v>
      </c>
      <c r="S20" s="970"/>
      <c r="T20" s="977" t="s">
        <v>1359</v>
      </c>
      <c r="U20" s="856" t="s">
        <v>1360</v>
      </c>
      <c r="V20" s="856" t="s">
        <v>1361</v>
      </c>
      <c r="W20" s="856" t="s">
        <v>1362</v>
      </c>
      <c r="X20" s="853"/>
      <c r="Y20" s="1013"/>
      <c r="Z20" s="856"/>
      <c r="AA20" s="859"/>
      <c r="AB20" s="856"/>
      <c r="AC20" s="856"/>
      <c r="AD20" s="856"/>
    </row>
    <row customHeight="1" ht="36">
      <c r="A21" s="855"/>
      <c r="B21" s="911">
        <v>4</v>
      </c>
      <c r="C21" s="853">
        <v>2</v>
      </c>
      <c r="D21" s="980"/>
      <c r="E21" s="853"/>
      <c r="F21" s="853"/>
      <c r="G21" s="853"/>
      <c r="H21" s="1015"/>
      <c r="I21" s="1018">
        <f>INDEX(TEMPLATE_NUMBER_POINT_FHD,B21,MATCH(TEMPLATE_SPHERE,TEMPLATE_SPHERE_LIST_FOR_NOTE,0))</f>
        <v>0</v>
      </c>
      <c r="J21" s="1018">
        <f>INDEX(TEMPLATE_DATA_POINT_FHD,B21,MATCH(TEMPLATE_SPHERE,TEMPLATE_SPHERE_LIST_FOR_NOTE,0))</f>
        <v>0</v>
      </c>
      <c r="K21" s="1018">
        <f>INDEX(TEMPLATE_NOTE_POINT_FHD,B21,MATCH(TEMPLATE_SPHERE,TEMPLATE_SPHERE_LIST_FOR_NOTE,0))</f>
        <v>0</v>
      </c>
      <c r="L21" s="854" t="str">
        <f>IF(I21=0,"",I21)</f>
        <v/>
      </c>
      <c r="M21" s="854" t="str">
        <f>IF(J21=0,"",J21)</f>
        <v/>
      </c>
      <c r="N21" s="854" t="str">
        <f>IF(K21=0,"",K21)</f>
        <v/>
      </c>
      <c r="O21" s="970" t="s">
        <v>300</v>
      </c>
      <c r="P21" s="970"/>
      <c r="Q21" s="970"/>
      <c r="R21" s="970"/>
      <c r="S21" s="970"/>
      <c r="T21" s="977" t="s">
        <v>1363</v>
      </c>
      <c r="U21" s="856"/>
      <c r="V21" s="856"/>
      <c r="W21" s="856"/>
      <c r="X21" s="853"/>
      <c r="Y21" s="1013"/>
      <c r="Z21" s="856" t="s">
        <v>1364</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300</v>
      </c>
      <c r="R22" s="970"/>
      <c r="S22" s="970"/>
      <c r="T22" s="977"/>
      <c r="U22" s="856"/>
      <c r="V22" s="856" t="s">
        <v>1365</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303</v>
      </c>
      <c r="R23" s="970"/>
      <c r="S23" s="970"/>
      <c r="T23" s="977"/>
      <c r="U23" s="856"/>
      <c r="V23" s="856" t="s">
        <v>1366</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1367</v>
      </c>
      <c r="R24" s="970"/>
      <c r="S24" s="970"/>
      <c r="T24" s="977"/>
      <c r="U24" s="856"/>
      <c r="V24" s="856" t="s">
        <v>1368</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2.2</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2.2</v>
      </c>
      <c r="M25" s="854" t="str">
        <f>IF(J25=0,"",J25)</f>
        <v>Расходы на приобретаемую электрическую энергию (мощность), используемую в технологическом процессе</v>
      </c>
      <c r="N25" s="854" t="str">
        <f>IF(K25=0,"",K25)</f>
        <v/>
      </c>
      <c r="O25" s="970" t="s">
        <v>303</v>
      </c>
      <c r="P25" s="970" t="s">
        <v>300</v>
      </c>
      <c r="Q25" s="970" t="s">
        <v>1369</v>
      </c>
      <c r="R25" s="970" t="s">
        <v>300</v>
      </c>
      <c r="S25" s="970"/>
      <c r="T25" s="977" t="s">
        <v>1370</v>
      </c>
      <c r="U25" s="856" t="s">
        <v>1370</v>
      </c>
      <c r="V25" s="856" t="s">
        <v>1370</v>
      </c>
      <c r="W25" s="856" t="s">
        <v>1370</v>
      </c>
      <c r="X25" s="853"/>
      <c r="Y25" s="1013"/>
      <c r="Z25" s="856"/>
      <c r="AA25" s="859"/>
      <c r="AB25" s="856"/>
      <c r="AC25" s="856"/>
      <c r="AD25" s="856"/>
    </row>
    <row customHeight="1" ht="18">
      <c r="A26" s="855"/>
      <c r="B26" s="911">
        <v>9</v>
      </c>
      <c r="C26" s="853" t="s">
        <v>1371</v>
      </c>
      <c r="D26" s="980"/>
      <c r="E26" s="853"/>
      <c r="F26" s="853"/>
      <c r="G26" s="903"/>
      <c r="H26" s="971"/>
      <c r="I26" s="1018" t="str">
        <f>INDEX(TEMPLATE_NUMBER_POINT_FHD,B26,MATCH(TEMPLATE_SPHERE,TEMPLATE_SPHERE_LIST_FOR_NOTE,0))</f>
        <v>2.2.1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2.2.1</v>
      </c>
      <c r="M26" s="854" t="str">
        <f>IF(J26=0,"",J26)</f>
        <v>Средневзвешенная стоимость 1 кВт.ч (с учетом мощности)</v>
      </c>
      <c r="N26" s="854" t="str">
        <f>IF(K26=0,"",K26)</f>
        <v/>
      </c>
      <c r="O26" s="970" t="s">
        <v>1372</v>
      </c>
      <c r="P26" s="970" t="s">
        <v>1373</v>
      </c>
      <c r="Q26" s="970" t="s">
        <v>1374</v>
      </c>
      <c r="R26" s="970" t="s">
        <v>1373</v>
      </c>
      <c r="S26" s="970"/>
      <c r="T26" s="977" t="s">
        <v>1375</v>
      </c>
      <c r="U26" s="977" t="s">
        <v>1375</v>
      </c>
      <c r="V26" s="977" t="s">
        <v>1375</v>
      </c>
      <c r="W26" s="977" t="s">
        <v>1375</v>
      </c>
      <c r="X26" s="853"/>
      <c r="Y26" s="1013"/>
      <c r="Z26" s="856"/>
      <c r="AA26" s="859"/>
      <c r="AB26" s="856"/>
      <c r="AC26" s="856"/>
      <c r="AD26" s="856"/>
    </row>
    <row customHeight="1" ht="18">
      <c r="A27" s="855"/>
      <c r="B27" s="911">
        <v>10</v>
      </c>
      <c r="C27" s="853" t="s">
        <v>1376</v>
      </c>
      <c r="D27" s="980"/>
      <c r="E27" s="853"/>
      <c r="F27" s="853"/>
      <c r="G27" s="903"/>
      <c r="H27" s="971"/>
      <c r="I27" s="1018" t="str">
        <f>INDEX(TEMPLATE_NUMBER_POINT_FHD,B27,MATCH(TEMPLATE_SPHERE,TEMPLATE_SPHERE_LIST_FOR_NOTE,0))</f>
        <v>2.2.2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2.2.2</v>
      </c>
      <c r="M27" s="854" t="str">
        <f>IF(J27=0,"",J27)</f>
        <v>Объём приобретения электрической энергии</v>
      </c>
      <c r="N27" s="854" t="str">
        <f>IF(K27=0,"",K27)</f>
        <v/>
      </c>
      <c r="O27" s="970" t="s">
        <v>1377</v>
      </c>
      <c r="P27" s="970" t="s">
        <v>1378</v>
      </c>
      <c r="Q27" s="970" t="s">
        <v>1379</v>
      </c>
      <c r="R27" s="970" t="s">
        <v>1378</v>
      </c>
      <c r="S27" s="970"/>
      <c r="T27" s="977" t="s">
        <v>1380</v>
      </c>
      <c r="U27" s="977" t="s">
        <v>1380</v>
      </c>
      <c r="V27" s="977" t="s">
        <v>1380</v>
      </c>
      <c r="W27" s="977" t="s">
        <v>1380</v>
      </c>
      <c r="X27" s="853"/>
      <c r="Y27" s="1013"/>
      <c r="Z27" s="856"/>
      <c r="AA27" s="859"/>
      <c r="AB27" s="856"/>
      <c r="AC27" s="856"/>
      <c r="AD27" s="856"/>
    </row>
    <row customHeight="1" ht="27">
      <c r="A28" s="855"/>
      <c r="B28" s="911">
        <v>11</v>
      </c>
      <c r="C28" s="853">
        <v>7</v>
      </c>
      <c r="D28" s="980"/>
      <c r="E28" s="853"/>
      <c r="F28" s="853"/>
      <c r="G28" s="903"/>
      <c r="H28" s="971"/>
      <c r="I28" s="1018">
        <f>INDEX(TEMPLATE_NUMBER_POINT_FHD,B28,MATCH(TEMPLATE_SPHERE,TEMPLATE_SPHERE_LIST_FOR_NOTE,0))</f>
        <v>0</v>
      </c>
      <c r="J28" s="1018">
        <f>INDEX(TEMPLATE_DATA_POINT_FHD,B28,MATCH(TEMPLATE_SPHERE,TEMPLATE_SPHERE_LIST_FOR_NOTE,0))</f>
        <v>0</v>
      </c>
      <c r="K28" s="1018">
        <f>INDEX(TEMPLATE_NOTE_POINT_FHD,B28,MATCH(TEMPLATE_SPHERE,TEMPLATE_SPHERE_LIST_FOR_NOTE,0))</f>
        <v>0</v>
      </c>
      <c r="L28" s="854" t="str">
        <f>IF(I28=0,"",I28)</f>
        <v/>
      </c>
      <c r="M28" s="854" t="str">
        <f>IF(J28=0,"",J28)</f>
        <v/>
      </c>
      <c r="N28" s="854" t="str">
        <f>IF(K28=0,"",K28)</f>
        <v/>
      </c>
      <c r="O28" s="970" t="s">
        <v>1367</v>
      </c>
      <c r="P28" s="970"/>
      <c r="Q28" s="970"/>
      <c r="R28" s="970"/>
      <c r="S28" s="970"/>
      <c r="T28" s="977" t="s">
        <v>1381</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2.3</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2.3</v>
      </c>
      <c r="M29" s="854" t="str">
        <f>IF(J29=0,"",J29)</f>
        <v>Расходы на химические реагенты, используемые в технологическом процессе</v>
      </c>
      <c r="N29" s="854" t="str">
        <f>IF(K29=0,"",K29)</f>
        <v/>
      </c>
      <c r="O29" s="970" t="s">
        <v>1369</v>
      </c>
      <c r="P29" s="970" t="s">
        <v>303</v>
      </c>
      <c r="Q29" s="970"/>
      <c r="R29" s="970" t="s">
        <v>303</v>
      </c>
      <c r="S29" s="970"/>
      <c r="T29" s="977" t="s">
        <v>1382</v>
      </c>
      <c r="U29" s="856" t="s">
        <v>1382</v>
      </c>
      <c r="V29" s="856"/>
      <c r="W29" s="856" t="s">
        <v>1382</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2.4</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4" t="str">
        <f>IF(I30=0,"",I30)</f>
        <v>2.4</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Указывается общая сумма расходов на оплату труда и отчислений на социальные нужды основного производственного персонала.</v>
      </c>
      <c r="O30" s="970" t="s">
        <v>1383</v>
      </c>
      <c r="P30" s="970" t="s">
        <v>1367</v>
      </c>
      <c r="Q30" s="970" t="s">
        <v>1383</v>
      </c>
      <c r="R30" s="970" t="s">
        <v>1367</v>
      </c>
      <c r="S30" s="970"/>
      <c r="T30" s="977" t="s">
        <v>1384</v>
      </c>
      <c r="U30" s="856" t="s">
        <v>1384</v>
      </c>
      <c r="V30" s="856" t="s">
        <v>1384</v>
      </c>
      <c r="W30" s="856" t="s">
        <v>1384</v>
      </c>
      <c r="X30" s="853"/>
      <c r="Y30" s="1013"/>
      <c r="Z30" s="856"/>
      <c r="AA30" s="859" t="s">
        <v>1385</v>
      </c>
      <c r="AB30" s="859" t="s">
        <v>1385</v>
      </c>
      <c r="AC30" s="859" t="s">
        <v>1385</v>
      </c>
      <c r="AD30" s="856"/>
    </row>
    <row customHeight="1" ht="18">
      <c r="A31" s="855"/>
      <c r="B31" s="911">
        <v>14</v>
      </c>
      <c r="C31" s="853" t="s">
        <v>1386</v>
      </c>
      <c r="D31" s="980"/>
      <c r="E31" s="853"/>
      <c r="F31" s="853"/>
      <c r="G31" s="903"/>
      <c r="H31" s="971"/>
      <c r="I31" s="1018" t="str">
        <f>INDEX(TEMPLATE_NUMBER_POINT_FHD,B31,MATCH(TEMPLATE_SPHERE,TEMPLATE_SPHERE_LIST_FOR_NOTE,0))</f>
        <v>2.4.1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2.4.1</v>
      </c>
      <c r="M31" s="854" t="str">
        <f>IF(J31=0,"",J31)</f>
        <v>Расходы на оплату труда основного производственного персонала</v>
      </c>
      <c r="N31" s="854" t="str">
        <f>IF(K31=0,"",K31)</f>
        <v/>
      </c>
      <c r="O31" s="970" t="s">
        <v>1387</v>
      </c>
      <c r="P31" s="970" t="s">
        <v>1388</v>
      </c>
      <c r="Q31" s="970" t="s">
        <v>1387</v>
      </c>
      <c r="R31" s="970" t="s">
        <v>1388</v>
      </c>
      <c r="S31" s="970"/>
      <c r="T31" s="978" t="s">
        <v>1389</v>
      </c>
      <c r="U31" s="856" t="s">
        <v>1389</v>
      </c>
      <c r="V31" s="856" t="s">
        <v>1389</v>
      </c>
      <c r="W31" s="856" t="s">
        <v>1389</v>
      </c>
      <c r="X31" s="853"/>
      <c r="Y31" s="1013"/>
      <c r="Z31" s="856"/>
      <c r="AA31" s="859"/>
      <c r="AB31" s="859"/>
      <c r="AC31" s="859"/>
      <c r="AD31" s="856"/>
    </row>
    <row customHeight="1" ht="36">
      <c r="A32" s="855"/>
      <c r="B32" s="911">
        <v>15</v>
      </c>
      <c r="C32" s="853" t="s">
        <v>1390</v>
      </c>
      <c r="D32" s="980"/>
      <c r="E32" s="853"/>
      <c r="F32" s="853"/>
      <c r="G32" s="903"/>
      <c r="H32" s="971"/>
      <c r="I32" s="1018" t="str">
        <f>INDEX(TEMPLATE_NUMBER_POINT_FHD,B32,MATCH(TEMPLATE_SPHERE,TEMPLATE_SPHERE_LIST_FOR_NOTE,0))</f>
        <v>2.4.2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2.4.2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1391</v>
      </c>
      <c r="P32" s="970" t="s">
        <v>1392</v>
      </c>
      <c r="Q32" s="970" t="s">
        <v>1391</v>
      </c>
      <c r="R32" s="970" t="s">
        <v>1392</v>
      </c>
      <c r="S32" s="970"/>
      <c r="T32" s="979" t="s">
        <v>1393</v>
      </c>
      <c r="U32" s="856" t="s">
        <v>1393</v>
      </c>
      <c r="V32" s="856" t="s">
        <v>1393</v>
      </c>
      <c r="W32" s="856" t="s">
        <v>1393</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2.5</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4" t="str">
        <f>IF(I33=0,"",I33)</f>
        <v>2.5</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54" t="str">
        <f>IF(K33=0,"",K33)</f>
        <v>Указывается общая сумма расходов на оплату труда и отчислений на социальные нужды административно-управленческого персонала.</v>
      </c>
      <c r="O33" s="970" t="s">
        <v>1394</v>
      </c>
      <c r="P33" s="970" t="s">
        <v>1369</v>
      </c>
      <c r="Q33" s="970" t="s">
        <v>1394</v>
      </c>
      <c r="R33" s="970" t="s">
        <v>1369</v>
      </c>
      <c r="S33" s="970"/>
      <c r="T33" s="978" t="s">
        <v>1395</v>
      </c>
      <c r="U33" s="856" t="s">
        <v>1395</v>
      </c>
      <c r="V33" s="856" t="s">
        <v>1395</v>
      </c>
      <c r="W33" s="856" t="s">
        <v>1396</v>
      </c>
      <c r="X33" s="853"/>
      <c r="Y33" s="1013"/>
      <c r="Z33" s="856"/>
      <c r="AA33" s="859" t="s">
        <v>1397</v>
      </c>
      <c r="AB33" s="859" t="s">
        <v>1397</v>
      </c>
      <c r="AC33" s="859" t="s">
        <v>1397</v>
      </c>
      <c r="AD33" s="856"/>
    </row>
    <row customHeight="1" ht="27">
      <c r="A34" s="855"/>
      <c r="B34" s="911">
        <v>17</v>
      </c>
      <c r="C34" s="853" t="s">
        <v>1398</v>
      </c>
      <c r="D34" s="980"/>
      <c r="E34" s="853"/>
      <c r="F34" s="853"/>
      <c r="G34" s="903"/>
      <c r="H34" s="971"/>
      <c r="I34" s="1018" t="str">
        <f>INDEX(TEMPLATE_NUMBER_POINT_FHD,B34,MATCH(TEMPLATE_SPHERE,TEMPLATE_SPHERE_LIST_FOR_NOTE,0))</f>
        <v>2.5.1</v>
      </c>
      <c r="J34" s="1018" t="str">
        <f>INDEX(TEMPLATE_DATA_POINT_FHD,B34,MATCH(TEMPLATE_SPHERE,TEMPLATE_SPHERE_LIST_FOR_NOTE,0))</f>
        <v>Расходы на оплату труда административно-управленческого персонала, в том числе:</v>
      </c>
      <c r="K34" s="1018">
        <f>INDEX(TEMPLATE_NOTE_POINT_FHD,B34,MATCH(TEMPLATE_SPHERE,TEMPLATE_SPHERE_LIST_FOR_NOTE,0))</f>
        <v>0</v>
      </c>
      <c r="L34" s="854" t="str">
        <f>IF(I34=0,"",I34)</f>
        <v>2.5.1</v>
      </c>
      <c r="M34" s="854" t="str">
        <f>IF(J34=0,"",J34)</f>
        <v>Расходы на оплату труда административно-управленческого персонала, в том числе:</v>
      </c>
      <c r="N34" s="854" t="str">
        <f>IF(K34=0,"",K34)</f>
        <v/>
      </c>
      <c r="O34" s="970" t="s">
        <v>1399</v>
      </c>
      <c r="P34" s="970" t="s">
        <v>1374</v>
      </c>
      <c r="Q34" s="970" t="s">
        <v>1399</v>
      </c>
      <c r="R34" s="970" t="s">
        <v>1374</v>
      </c>
      <c r="S34" s="970"/>
      <c r="T34" s="979" t="s">
        <v>1400</v>
      </c>
      <c r="U34" s="856" t="s">
        <v>1400</v>
      </c>
      <c r="V34" s="856" t="s">
        <v>1400</v>
      </c>
      <c r="W34" s="856" t="s">
        <v>1401</v>
      </c>
      <c r="X34" s="853"/>
      <c r="Y34" s="1013"/>
      <c r="Z34" s="856"/>
      <c r="AA34" s="859"/>
      <c r="AB34" s="856"/>
      <c r="AC34" s="856"/>
      <c r="AD34" s="856"/>
    </row>
    <row customHeight="1" ht="45">
      <c r="A35" s="855"/>
      <c r="B35" s="911">
        <v>18</v>
      </c>
      <c r="C35" s="853" t="s">
        <v>1402</v>
      </c>
      <c r="D35" s="980"/>
      <c r="E35" s="853"/>
      <c r="F35" s="853"/>
      <c r="G35" s="903"/>
      <c r="H35" s="971"/>
      <c r="I35" s="1018" t="str">
        <f>INDEX(TEMPLATE_NUMBER_POINT_FHD,B35,MATCH(TEMPLATE_SPHERE,TEMPLATE_SPHERE_LIST_FOR_NOTE,0))</f>
        <v>2.5.2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2.5.2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1403</v>
      </c>
      <c r="P35" s="970" t="s">
        <v>1379</v>
      </c>
      <c r="Q35" s="970" t="s">
        <v>1403</v>
      </c>
      <c r="R35" s="970" t="s">
        <v>1379</v>
      </c>
      <c r="S35" s="970"/>
      <c r="T35" s="977" t="s">
        <v>1404</v>
      </c>
      <c r="U35" s="856" t="s">
        <v>1404</v>
      </c>
      <c r="V35" s="856" t="s">
        <v>1404</v>
      </c>
      <c r="W35" s="856" t="s">
        <v>1404</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2.6</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2.6</v>
      </c>
      <c r="M36" s="854" t="str">
        <f>IF(J36=0,"",J36)</f>
        <v>Расходы на амортизацию основных средств и нематериальных активов</v>
      </c>
      <c r="N36" s="854" t="str">
        <f>IF(K36=0,"",K36)</f>
        <v/>
      </c>
      <c r="O36" s="970" t="s">
        <v>1405</v>
      </c>
      <c r="P36" s="970" t="s">
        <v>1383</v>
      </c>
      <c r="Q36" s="970" t="s">
        <v>1405</v>
      </c>
      <c r="R36" s="970" t="s">
        <v>1383</v>
      </c>
      <c r="S36" s="970"/>
      <c r="T36" s="977" t="s">
        <v>1406</v>
      </c>
      <c r="U36" s="856" t="s">
        <v>1406</v>
      </c>
      <c r="V36" s="856" t="s">
        <v>1406</v>
      </c>
      <c r="W36" s="856" t="s">
        <v>1406</v>
      </c>
      <c r="X36" s="853"/>
      <c r="Y36" s="1013"/>
      <c r="Z36" s="856"/>
      <c r="AA36" s="859"/>
      <c r="AB36" s="856"/>
      <c r="AC36" s="856"/>
      <c r="AD36" s="856"/>
    </row>
    <row customHeight="1" ht="18">
      <c r="A37" s="855"/>
      <c r="B37" s="911">
        <v>20</v>
      </c>
      <c r="C37" s="853" t="s">
        <v>1407</v>
      </c>
      <c r="D37" s="980"/>
      <c r="E37" s="853"/>
      <c r="F37" s="853"/>
      <c r="G37" s="903"/>
      <c r="H37" s="971"/>
      <c r="I37" s="1018" t="str">
        <f>INDEX(TEMPLATE_NUMBER_POINT_FHD,B37,MATCH(TEMPLATE_SPHERE,TEMPLATE_SPHERE_LIST_FOR_NOTE,0))</f>
        <v>2.6.1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2.6.1</v>
      </c>
      <c r="M37" s="854" t="str">
        <f>IF(J37=0,"",J37)</f>
        <v>Расходы на амортизацию основных средств</v>
      </c>
      <c r="N37" s="854" t="str">
        <f>IF(K37=0,"",K37)</f>
        <v/>
      </c>
      <c r="O37" s="970" t="s">
        <v>1408</v>
      </c>
      <c r="P37" s="970" t="s">
        <v>1387</v>
      </c>
      <c r="Q37" s="970" t="s">
        <v>1408</v>
      </c>
      <c r="R37" s="970" t="s">
        <v>1387</v>
      </c>
      <c r="S37" s="970"/>
      <c r="T37" s="977" t="s">
        <v>1409</v>
      </c>
      <c r="U37" s="856" t="s">
        <v>1409</v>
      </c>
      <c r="V37" s="856" t="s">
        <v>1409</v>
      </c>
      <c r="W37" s="856" t="s">
        <v>1409</v>
      </c>
      <c r="X37" s="853"/>
      <c r="Y37" s="1013"/>
      <c r="Z37" s="856"/>
      <c r="AA37" s="859"/>
      <c r="AB37" s="856"/>
      <c r="AC37" s="856"/>
      <c r="AD37" s="856"/>
    </row>
    <row customHeight="1" ht="18">
      <c r="A38" s="855"/>
      <c r="B38" s="911">
        <v>21</v>
      </c>
      <c r="C38" s="853" t="s">
        <v>1410</v>
      </c>
      <c r="D38" s="980"/>
      <c r="E38" s="853"/>
      <c r="F38" s="853"/>
      <c r="G38" s="903"/>
      <c r="H38" s="971"/>
      <c r="I38" s="1018" t="str">
        <f>INDEX(TEMPLATE_NUMBER_POINT_FHD,B38,MATCH(TEMPLATE_SPHERE,TEMPLATE_SPHERE_LIST_FOR_NOTE,0))</f>
        <v>2.6.2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2.6.2</v>
      </c>
      <c r="M38" s="854" t="str">
        <f>IF(J38=0,"",J38)</f>
        <v>Расходы на амортизацию нематериальных активов</v>
      </c>
      <c r="N38" s="854" t="str">
        <f>IF(K38=0,"",K38)</f>
        <v/>
      </c>
      <c r="O38" s="970" t="s">
        <v>1411</v>
      </c>
      <c r="P38" s="970" t="s">
        <v>1391</v>
      </c>
      <c r="Q38" s="970" t="s">
        <v>1411</v>
      </c>
      <c r="R38" s="970" t="s">
        <v>1391</v>
      </c>
      <c r="S38" s="970"/>
      <c r="T38" s="977" t="s">
        <v>1412</v>
      </c>
      <c r="U38" s="856" t="s">
        <v>1412</v>
      </c>
      <c r="V38" s="856" t="s">
        <v>1412</v>
      </c>
      <c r="W38" s="856" t="s">
        <v>1412</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2.7</v>
      </c>
      <c r="J39" s="10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18">
        <f>INDEX(TEMPLATE_NOTE_POINT_FHD,B39,MATCH(TEMPLATE_SPHERE,TEMPLATE_SPHERE_LIST_FOR_NOTE,0))</f>
        <v>0</v>
      </c>
      <c r="L39" s="854" t="str">
        <f>IF(I39=0,"",I39)</f>
        <v>2.7</v>
      </c>
      <c r="M39" s="854" t="str">
        <f>IF(J39=0,"",J39)</f>
        <v>Расходы на аренду имущества, используемого для осуществления регулируемых видов деятельности в сфере водоотведения</v>
      </c>
      <c r="N39" s="854" t="str">
        <f>IF(K39=0,"",K39)</f>
        <v/>
      </c>
      <c r="O39" s="970" t="s">
        <v>1413</v>
      </c>
      <c r="P39" s="970" t="s">
        <v>1394</v>
      </c>
      <c r="Q39" s="970" t="s">
        <v>1413</v>
      </c>
      <c r="R39" s="970" t="s">
        <v>1394</v>
      </c>
      <c r="S39" s="970"/>
      <c r="T39" s="977" t="s">
        <v>1414</v>
      </c>
      <c r="U39" s="856" t="s">
        <v>1415</v>
      </c>
      <c r="V39" s="856" t="s">
        <v>1416</v>
      </c>
      <c r="W39" s="856" t="s">
        <v>1417</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2.8</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2.8</v>
      </c>
      <c r="M40" s="854" t="str">
        <f>IF(J40=0,"",J40)</f>
        <v>Общепроизводственные расходы, в том числе:</v>
      </c>
      <c r="N40" s="854" t="str">
        <f>IF(K40=0,"",K40)</f>
        <v>Указывается общая сумма общепроизводственных расходов.</v>
      </c>
      <c r="O40" s="970" t="s">
        <v>1418</v>
      </c>
      <c r="P40" s="970" t="s">
        <v>1405</v>
      </c>
      <c r="Q40" s="970" t="s">
        <v>1418</v>
      </c>
      <c r="R40" s="970" t="s">
        <v>1405</v>
      </c>
      <c r="S40" s="970"/>
      <c r="T40" s="853" t="s">
        <v>1419</v>
      </c>
      <c r="U40" s="853" t="s">
        <v>1419</v>
      </c>
      <c r="V40" s="853" t="s">
        <v>1419</v>
      </c>
      <c r="W40" s="853" t="s">
        <v>1419</v>
      </c>
      <c r="X40" s="853"/>
      <c r="Y40" s="1013"/>
      <c r="Z40" s="856" t="s">
        <v>1420</v>
      </c>
      <c r="AA40" s="859" t="s">
        <v>1420</v>
      </c>
      <c r="AB40" s="859" t="s">
        <v>1420</v>
      </c>
      <c r="AC40" s="859" t="s">
        <v>1420</v>
      </c>
      <c r="AD40" s="856"/>
    </row>
    <row customHeight="1" ht="27">
      <c r="A41" s="855"/>
      <c r="B41" s="911">
        <v>24</v>
      </c>
      <c r="C41" s="853" t="s">
        <v>1421</v>
      </c>
      <c r="D41" s="980"/>
      <c r="E41" s="853"/>
      <c r="F41" s="853"/>
      <c r="G41" s="853"/>
      <c r="H41" s="903"/>
      <c r="I41" s="1018" t="str">
        <f>INDEX(TEMPLATE_NUMBER_POINT_FHD,B41,MATCH(TEMPLATE_SPHERE,TEMPLATE_SPHERE_LIST_FOR_NOTE,0))</f>
        <v>2.8.1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2.8.1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1422</v>
      </c>
      <c r="P41" s="970" t="s">
        <v>1408</v>
      </c>
      <c r="Q41" s="970" t="s">
        <v>1422</v>
      </c>
      <c r="R41" s="970" t="s">
        <v>1408</v>
      </c>
      <c r="S41" s="970"/>
      <c r="T41" s="853" t="s">
        <v>1423</v>
      </c>
      <c r="U41" s="853" t="s">
        <v>1423</v>
      </c>
      <c r="V41" s="853" t="s">
        <v>1423</v>
      </c>
      <c r="W41" s="853" t="s">
        <v>1423</v>
      </c>
      <c r="X41" s="853"/>
      <c r="Y41" s="1013"/>
      <c r="Z41" s="856" t="s">
        <v>1424</v>
      </c>
      <c r="AA41" s="856" t="s">
        <v>1424</v>
      </c>
      <c r="AB41" s="856" t="s">
        <v>1424</v>
      </c>
      <c r="AC41" s="856" t="s">
        <v>1424</v>
      </c>
      <c r="AD41" s="856"/>
    </row>
    <row customHeight="1" ht="27">
      <c r="A42" s="855"/>
      <c r="B42" s="911">
        <v>25</v>
      </c>
      <c r="C42" s="853" t="s">
        <v>1425</v>
      </c>
      <c r="D42" s="980"/>
      <c r="E42" s="853"/>
      <c r="F42" s="853"/>
      <c r="G42" s="853"/>
      <c r="H42" s="903"/>
      <c r="I42" s="1018" t="str">
        <f>INDEX(TEMPLATE_NUMBER_POINT_FHD,B42,MATCH(TEMPLATE_SPHERE,TEMPLATE_SPHERE_LIST_FOR_NOTE,0))</f>
        <v>2.8.2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2.8.2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1426</v>
      </c>
      <c r="P42" s="970" t="s">
        <v>1411</v>
      </c>
      <c r="Q42" s="970" t="s">
        <v>1426</v>
      </c>
      <c r="R42" s="970" t="s">
        <v>1411</v>
      </c>
      <c r="S42" s="970"/>
      <c r="T42" s="853" t="s">
        <v>1427</v>
      </c>
      <c r="U42" s="853" t="s">
        <v>1427</v>
      </c>
      <c r="V42" s="853" t="s">
        <v>1427</v>
      </c>
      <c r="W42" s="853" t="s">
        <v>1427</v>
      </c>
      <c r="X42" s="853"/>
      <c r="Y42" s="1013"/>
      <c r="Z42" s="856" t="s">
        <v>1428</v>
      </c>
      <c r="AA42" s="856" t="s">
        <v>1428</v>
      </c>
      <c r="AB42" s="856" t="s">
        <v>1428</v>
      </c>
      <c r="AC42" s="856" t="s">
        <v>1428</v>
      </c>
      <c r="AD42" s="856"/>
    </row>
    <row customHeight="1" ht="18">
      <c r="A43" s="855"/>
      <c r="B43" s="911">
        <v>26</v>
      </c>
      <c r="C43" s="853">
        <v>14</v>
      </c>
      <c r="D43" s="980"/>
      <c r="E43" s="853"/>
      <c r="F43" s="853"/>
      <c r="G43" s="853"/>
      <c r="H43" s="903"/>
      <c r="I43" s="1018" t="str">
        <f>INDEX(TEMPLATE_NUMBER_POINT_FHD,B43,MATCH(TEMPLATE_SPHERE,TEMPLATE_SPHERE_LIST_FOR_NOTE,0))</f>
        <v>2.9</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2.9</v>
      </c>
      <c r="M43" s="854" t="str">
        <f>IF(J43=0,"",J43)</f>
        <v>Общехозяйственные расходы, в том числе:</v>
      </c>
      <c r="N43" s="854" t="str">
        <f>IF(K43=0,"",K43)</f>
        <v>Указывается общая сумма общехозяйственных расходов.</v>
      </c>
      <c r="O43" s="970" t="s">
        <v>1429</v>
      </c>
      <c r="P43" s="970" t="s">
        <v>1413</v>
      </c>
      <c r="Q43" s="970" t="s">
        <v>1429</v>
      </c>
      <c r="R43" s="970" t="s">
        <v>1413</v>
      </c>
      <c r="S43" s="970"/>
      <c r="T43" s="853" t="s">
        <v>1430</v>
      </c>
      <c r="U43" s="853" t="s">
        <v>1430</v>
      </c>
      <c r="V43" s="853" t="s">
        <v>1430</v>
      </c>
      <c r="W43" s="853" t="s">
        <v>1430</v>
      </c>
      <c r="X43" s="853"/>
      <c r="Y43" s="1013"/>
      <c r="Z43" s="856" t="s">
        <v>1431</v>
      </c>
      <c r="AA43" s="856" t="s">
        <v>1431</v>
      </c>
      <c r="AB43" s="856" t="s">
        <v>1431</v>
      </c>
      <c r="AC43" s="856" t="s">
        <v>1431</v>
      </c>
      <c r="AD43" s="856"/>
    </row>
    <row customHeight="1" ht="27">
      <c r="A44" s="855"/>
      <c r="B44" s="911">
        <v>27</v>
      </c>
      <c r="C44" s="853" t="s">
        <v>1432</v>
      </c>
      <c r="D44" s="980"/>
      <c r="E44" s="853"/>
      <c r="F44" s="853"/>
      <c r="G44" s="853"/>
      <c r="H44" s="903"/>
      <c r="I44" s="1018" t="str">
        <f>INDEX(TEMPLATE_NUMBER_POINT_FHD,B44,MATCH(TEMPLATE_SPHERE,TEMPLATE_SPHERE_LIST_FOR_NOTE,0))</f>
        <v>2.9.1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2.9.1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1433</v>
      </c>
      <c r="P44" s="970" t="s">
        <v>1434</v>
      </c>
      <c r="Q44" s="970" t="s">
        <v>1433</v>
      </c>
      <c r="R44" s="970" t="s">
        <v>1434</v>
      </c>
      <c r="S44" s="970"/>
      <c r="T44" s="853" t="s">
        <v>1423</v>
      </c>
      <c r="U44" s="853" t="s">
        <v>1423</v>
      </c>
      <c r="V44" s="853" t="s">
        <v>1423</v>
      </c>
      <c r="W44" s="853" t="s">
        <v>1423</v>
      </c>
      <c r="X44" s="853"/>
      <c r="Y44" s="1013"/>
      <c r="Z44" s="856" t="s">
        <v>1435</v>
      </c>
      <c r="AA44" s="856" t="s">
        <v>1435</v>
      </c>
      <c r="AB44" s="856" t="s">
        <v>1435</v>
      </c>
      <c r="AC44" s="856" t="s">
        <v>1435</v>
      </c>
      <c r="AD44" s="856"/>
    </row>
    <row customHeight="1" ht="27">
      <c r="A45" s="855"/>
      <c r="B45" s="911">
        <v>28</v>
      </c>
      <c r="C45" s="853" t="s">
        <v>1436</v>
      </c>
      <c r="D45" s="980"/>
      <c r="E45" s="853"/>
      <c r="F45" s="853"/>
      <c r="G45" s="853"/>
      <c r="H45" s="903"/>
      <c r="I45" s="1018" t="str">
        <f>INDEX(TEMPLATE_NUMBER_POINT_FHD,B45,MATCH(TEMPLATE_SPHERE,TEMPLATE_SPHERE_LIST_FOR_NOTE,0))</f>
        <v>2.9.2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2.9.2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1437</v>
      </c>
      <c r="P45" s="970" t="s">
        <v>1438</v>
      </c>
      <c r="Q45" s="970" t="s">
        <v>1437</v>
      </c>
      <c r="R45" s="970" t="s">
        <v>1438</v>
      </c>
      <c r="S45" s="970"/>
      <c r="T45" s="853" t="s">
        <v>1427</v>
      </c>
      <c r="U45" s="853" t="s">
        <v>1427</v>
      </c>
      <c r="V45" s="853" t="s">
        <v>1427</v>
      </c>
      <c r="W45" s="853" t="s">
        <v>1427</v>
      </c>
      <c r="X45" s="853"/>
      <c r="Y45" s="1013"/>
      <c r="Z45" s="856" t="s">
        <v>1439</v>
      </c>
      <c r="AA45" s="856" t="s">
        <v>1439</v>
      </c>
      <c r="AB45" s="856" t="s">
        <v>1439</v>
      </c>
      <c r="AC45" s="856" t="s">
        <v>1439</v>
      </c>
      <c r="AD45" s="856"/>
    </row>
    <row customHeight="1" ht="54">
      <c r="A46" s="855"/>
      <c r="B46" s="911">
        <v>29</v>
      </c>
      <c r="C46" s="853">
        <v>15</v>
      </c>
      <c r="D46" s="980"/>
      <c r="E46" s="853"/>
      <c r="F46" s="853"/>
      <c r="G46" s="853"/>
      <c r="H46" s="903"/>
      <c r="I46" s="1018" t="str">
        <f>INDEX(TEMPLATE_NUMBER_POINT_FHD,B46,MATCH(TEMPLATE_SPHERE,TEMPLATE_SPHERE_LIST_FOR_NOTE,0))</f>
        <v>2.10</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2.10</v>
      </c>
      <c r="M46" s="854" t="str">
        <f>IF(J46=0,"",J46)</f>
        <v>Расходы на капитальный и текущий ремонт основных средств</v>
      </c>
      <c r="N46" s="85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1440</v>
      </c>
      <c r="P46" s="970" t="s">
        <v>1418</v>
      </c>
      <c r="Q46" s="970" t="s">
        <v>1440</v>
      </c>
      <c r="R46" s="970" t="s">
        <v>1418</v>
      </c>
      <c r="S46" s="970"/>
      <c r="T46" s="853" t="s">
        <v>1441</v>
      </c>
      <c r="U46" s="853" t="s">
        <v>1441</v>
      </c>
      <c r="V46" s="853" t="s">
        <v>1441</v>
      </c>
      <c r="W46" s="853" t="s">
        <v>1441</v>
      </c>
      <c r="X46" s="853"/>
      <c r="Y46" s="1013"/>
      <c r="Z46" s="856" t="s">
        <v>1442</v>
      </c>
      <c r="AA46" s="856" t="s">
        <v>1443</v>
      </c>
      <c r="AB46" s="856" t="s">
        <v>1443</v>
      </c>
      <c r="AC46" s="856" t="s">
        <v>1443</v>
      </c>
      <c r="AD46" s="856"/>
    </row>
    <row customHeight="1" ht="54">
      <c r="A47" s="855"/>
      <c r="B47" s="911">
        <v>30</v>
      </c>
      <c r="C47" s="853" t="s">
        <v>1444</v>
      </c>
      <c r="D47" s="980"/>
      <c r="E47" s="853"/>
      <c r="F47" s="853"/>
      <c r="G47" s="853"/>
      <c r="H47" s="903"/>
      <c r="I47" s="1018" t="str">
        <f>INDEX(TEMPLATE_NUMBER_POINT_FHD,B47,MATCH(TEMPLATE_SPHERE,TEMPLATE_SPHERE_LIST_FOR_NOTE,0))</f>
        <v>2.10.1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2.10.1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1445</v>
      </c>
      <c r="P47" s="970" t="s">
        <v>1422</v>
      </c>
      <c r="Q47" s="970" t="s">
        <v>1445</v>
      </c>
      <c r="R47" s="970" t="s">
        <v>1422</v>
      </c>
      <c r="S47" s="970"/>
      <c r="T47" s="853" t="s">
        <v>1446</v>
      </c>
      <c r="U47" s="853" t="s">
        <v>1446</v>
      </c>
      <c r="V47" s="853" t="s">
        <v>1446</v>
      </c>
      <c r="W47" s="853" t="s">
        <v>1446</v>
      </c>
      <c r="X47" s="853"/>
      <c r="Y47" s="1013"/>
      <c r="Z47" s="856"/>
      <c r="AA47" s="859"/>
      <c r="AB47" s="859"/>
      <c r="AC47" s="859"/>
      <c r="AD47" s="856"/>
    </row>
    <row customHeight="1" ht="54">
      <c r="A48" s="855"/>
      <c r="B48" s="911">
        <v>31</v>
      </c>
      <c r="C48" s="853">
        <v>16</v>
      </c>
      <c r="D48" s="980"/>
      <c r="E48" s="853"/>
      <c r="F48" s="853"/>
      <c r="G48" s="853"/>
      <c r="H48" s="903"/>
      <c r="I48" s="1018" t="str">
        <f>INDEX(TEMPLATE_NUMBER_POINT_FHD,B48,MATCH(TEMPLATE_SPHERE,TEMPLATE_SPHERE_LIST_FOR_NOTE,0))</f>
        <v>2.11</v>
      </c>
      <c r="J48" s="10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4" t="str">
        <f>IF(I48=0,"",I48)</f>
        <v>2.11</v>
      </c>
      <c r="M48" s="85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0"/>
      <c r="P48" s="970" t="s">
        <v>1429</v>
      </c>
      <c r="Q48" s="970" t="s">
        <v>1447</v>
      </c>
      <c r="R48" s="970" t="s">
        <v>1429</v>
      </c>
      <c r="S48" s="970"/>
      <c r="T48" s="853"/>
      <c r="U48" s="853" t="s">
        <v>1448</v>
      </c>
      <c r="V48" s="853" t="s">
        <v>1449</v>
      </c>
      <c r="W48" s="853" t="s">
        <v>1449</v>
      </c>
      <c r="X48" s="853"/>
      <c r="Y48" s="1013"/>
      <c r="Z48" s="856"/>
      <c r="AA48" s="859" t="s">
        <v>1443</v>
      </c>
      <c r="AB48" s="859" t="s">
        <v>1443</v>
      </c>
      <c r="AC48" s="859" t="s">
        <v>1443</v>
      </c>
      <c r="AD48" s="856"/>
    </row>
    <row customHeight="1" ht="54">
      <c r="A49" s="855"/>
      <c r="B49" s="911">
        <v>32</v>
      </c>
      <c r="C49" s="853" t="s">
        <v>1450</v>
      </c>
      <c r="D49" s="980"/>
      <c r="E49" s="853"/>
      <c r="F49" s="853"/>
      <c r="G49" s="853"/>
      <c r="H49" s="903"/>
      <c r="I49" s="1018" t="str">
        <f>INDEX(TEMPLATE_NUMBER_POINT_FHD,B49,MATCH(TEMPLATE_SPHERE,TEMPLATE_SPHERE_LIST_FOR_NOTE,0))</f>
        <v>2.11.1</v>
      </c>
      <c r="J49" s="10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8">
        <f>INDEX(TEMPLATE_NOTE_POINT_FHD,B49,MATCH(TEMPLATE_SPHERE,TEMPLATE_SPHERE_LIST_FOR_NOTE,0))</f>
        <v>0</v>
      </c>
      <c r="L49" s="854" t="str">
        <f>IF(I49=0,"",I49)</f>
        <v>2.11.1</v>
      </c>
      <c r="M49" s="85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4" t="str">
        <f>IF(K49=0,"",K49)</f>
        <v/>
      </c>
      <c r="O49" s="970"/>
      <c r="P49" s="970" t="s">
        <v>1433</v>
      </c>
      <c r="Q49" s="970" t="s">
        <v>1451</v>
      </c>
      <c r="R49" s="970" t="s">
        <v>1433</v>
      </c>
      <c r="S49" s="970"/>
      <c r="T49" s="853"/>
      <c r="U49" s="853" t="s">
        <v>1446</v>
      </c>
      <c r="V49" s="853" t="s">
        <v>1446</v>
      </c>
      <c r="W49" s="853" t="s">
        <v>1446</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2.12</v>
      </c>
      <c r="J50" s="101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4" t="str">
        <f>IF(I50=0,"",I50)</f>
        <v>2.12</v>
      </c>
      <c r="M50" s="85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5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0" t="s">
        <v>1447</v>
      </c>
      <c r="P50" s="970" t="s">
        <v>1440</v>
      </c>
      <c r="Q50" s="970" t="s">
        <v>1452</v>
      </c>
      <c r="R50" s="970" t="s">
        <v>1440</v>
      </c>
      <c r="S50" s="970"/>
      <c r="T50" s="853" t="s">
        <v>1453</v>
      </c>
      <c r="U50" s="853" t="s">
        <v>1454</v>
      </c>
      <c r="V50" s="853" t="s">
        <v>1455</v>
      </c>
      <c r="W50" s="853" t="s">
        <v>1456</v>
      </c>
      <c r="X50" s="853"/>
      <c r="Y50" s="1013"/>
      <c r="Z50" s="856" t="s">
        <v>1457</v>
      </c>
      <c r="AA50" s="859" t="s">
        <v>1458</v>
      </c>
      <c r="AB50" s="859" t="s">
        <v>1458</v>
      </c>
      <c r="AC50" s="859" t="s">
        <v>1458</v>
      </c>
      <c r="AD50" s="856"/>
    </row>
    <row customHeight="1" ht="27">
      <c r="A51" s="855"/>
      <c r="B51" s="911">
        <v>34</v>
      </c>
      <c r="C51" s="853" t="s">
        <v>1459</v>
      </c>
      <c r="D51" s="980"/>
      <c r="E51" s="853"/>
      <c r="F51" s="853"/>
      <c r="G51" s="853"/>
      <c r="H51" s="903"/>
      <c r="I51" s="1018">
        <f>INDEX(TEMPLATE_NUMBER_POINT_FHD,B51,MATCH(TEMPLATE_SPHERE,TEMPLATE_SPHERE_LIST_FOR_NOTE,0))</f>
        <v>0</v>
      </c>
      <c r="J51" s="1018">
        <f>INDEX(TEMPLATE_DATA_POINT_FHD,B51,MATCH(TEMPLATE_SPHERE,TEMPLATE_SPHERE_LIST_FOR_NOTE,0))</f>
        <v>0</v>
      </c>
      <c r="K51" s="1018">
        <f>INDEX(TEMPLATE_NOTE_POINT_FHD,B51,MATCH(TEMPLATE_SPHERE,TEMPLATE_SPHERE_LIST_FOR_NOTE,0))</f>
        <v>0</v>
      </c>
      <c r="L51" s="854" t="str">
        <f>IF(I51=0,"",I51)</f>
        <v/>
      </c>
      <c r="M51" s="854" t="str">
        <f>IF(J51=0,"",J51)</f>
        <v/>
      </c>
      <c r="N51" s="854" t="str">
        <f>IF(K51=0,"",K51)</f>
        <v/>
      </c>
      <c r="O51" s="970" t="s">
        <v>90</v>
      </c>
      <c r="P51" s="970"/>
      <c r="Q51" s="970"/>
      <c r="R51" s="970"/>
      <c r="S51" s="970"/>
      <c r="T51" s="853" t="s">
        <v>1460</v>
      </c>
      <c r="U51" s="853"/>
      <c r="V51" s="853"/>
      <c r="W51" s="853"/>
      <c r="X51" s="853"/>
      <c r="Y51" s="1013"/>
      <c r="Z51" s="856"/>
      <c r="AA51" s="859"/>
      <c r="AB51" s="859"/>
      <c r="AC51" s="859"/>
      <c r="AD51" s="856"/>
    </row>
    <row customHeight="1" ht="36">
      <c r="A52" s="855"/>
      <c r="B52" s="911">
        <v>35</v>
      </c>
      <c r="C52" s="853" t="s">
        <v>1339</v>
      </c>
      <c r="D52" s="980" t="s">
        <v>1339</v>
      </c>
      <c r="E52" s="853" t="s">
        <v>1339</v>
      </c>
      <c r="F52" s="853" t="s">
        <v>1339</v>
      </c>
      <c r="G52" s="853"/>
      <c r="H52" s="903"/>
      <c r="I52" s="1018" t="str">
        <f>INDEX(TEMPLATE_NUMBER_POINT_FHD,B52,MATCH(TEMPLATE_SPHERE,TEMPLATE_SPHERE_LIST_FOR_NOTE,0))</f>
        <v>3</v>
      </c>
      <c r="J52" s="101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3</v>
      </c>
      <c r="M52" s="854" t="str">
        <f>IF(J52=0,"",J52)</f>
        <v>Чистая прибыль, полученная от регулируемого вида деятельности в сфере водоотведения, в том числе:</v>
      </c>
      <c r="N52" s="854" t="str">
        <f>IF(K52=0,"",K52)</f>
        <v>Указывается общая сумма чистой прибыли, полученной от регулируемого вида деятельности.</v>
      </c>
      <c r="O52" s="970" t="s">
        <v>91</v>
      </c>
      <c r="P52" s="970" t="s">
        <v>90</v>
      </c>
      <c r="Q52" s="970" t="s">
        <v>90</v>
      </c>
      <c r="R52" s="970" t="s">
        <v>90</v>
      </c>
      <c r="S52" s="970"/>
      <c r="T52" s="853" t="s">
        <v>1461</v>
      </c>
      <c r="U52" s="853" t="s">
        <v>1462</v>
      </c>
      <c r="V52" s="853" t="s">
        <v>1463</v>
      </c>
      <c r="W52" s="853" t="s">
        <v>1464</v>
      </c>
      <c r="X52" s="853"/>
      <c r="Y52" s="1013"/>
      <c r="Z52" s="856" t="s">
        <v>1465</v>
      </c>
      <c r="AA52" s="859" t="s">
        <v>1465</v>
      </c>
      <c r="AB52" s="859" t="s">
        <v>1465</v>
      </c>
      <c r="AC52" s="859" t="s">
        <v>1465</v>
      </c>
      <c r="AD52" s="856"/>
    </row>
    <row customHeight="1" ht="36">
      <c r="A53" s="855"/>
      <c r="B53" s="911">
        <v>36</v>
      </c>
      <c r="C53" s="853">
        <v>1</v>
      </c>
      <c r="D53" s="980"/>
      <c r="E53" s="853"/>
      <c r="F53" s="853"/>
      <c r="G53" s="853"/>
      <c r="H53" s="903"/>
      <c r="I53" s="1018" t="str">
        <f>INDEX(TEMPLATE_NUMBER_POINT_FHD,B53,MATCH(TEMPLATE_SPHERE,TEMPLATE_SPHERE_LIST_FOR_NOTE,0))</f>
        <v>3.1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3.1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1466</v>
      </c>
      <c r="P53" s="970" t="s">
        <v>319</v>
      </c>
      <c r="Q53" s="970" t="s">
        <v>319</v>
      </c>
      <c r="R53" s="970" t="s">
        <v>319</v>
      </c>
      <c r="S53" s="970"/>
      <c r="T53" s="853" t="s">
        <v>1467</v>
      </c>
      <c r="U53" s="853" t="s">
        <v>1467</v>
      </c>
      <c r="V53" s="853" t="s">
        <v>1467</v>
      </c>
      <c r="W53" s="853" t="s">
        <v>1467</v>
      </c>
      <c r="X53" s="853"/>
      <c r="Y53" s="1013"/>
      <c r="Z53" s="856"/>
      <c r="AA53" s="859"/>
      <c r="AB53" s="856"/>
      <c r="AC53" s="856"/>
      <c r="AD53" s="856"/>
    </row>
    <row customHeight="1" ht="18">
      <c r="A54" s="855"/>
      <c r="B54" s="911">
        <v>37</v>
      </c>
      <c r="C54" s="853" t="s">
        <v>1345</v>
      </c>
      <c r="D54" s="980" t="s">
        <v>1345</v>
      </c>
      <c r="E54" s="853" t="s">
        <v>1345</v>
      </c>
      <c r="F54" s="853" t="s">
        <v>1345</v>
      </c>
      <c r="G54" s="853"/>
      <c r="H54" s="903"/>
      <c r="I54" s="1018" t="str">
        <f>INDEX(TEMPLATE_NUMBER_POINT_FHD,B54,MATCH(TEMPLATE_SPHERE,TEMPLATE_SPHERE_LIST_FOR_NOTE,0))</f>
        <v>4</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4</v>
      </c>
      <c r="M54" s="854" t="str">
        <f>IF(J54=0,"",J54)</f>
        <v>Изменение стоимости основных фондов, в том числе:</v>
      </c>
      <c r="N54" s="854" t="str">
        <f>IF(K54=0,"",K54)</f>
        <v>Указывается общее изменение стоимости основных фондов.</v>
      </c>
      <c r="O54" s="970" t="s">
        <v>111</v>
      </c>
      <c r="P54" s="970" t="s">
        <v>91</v>
      </c>
      <c r="Q54" s="970" t="s">
        <v>91</v>
      </c>
      <c r="R54" s="970" t="s">
        <v>91</v>
      </c>
      <c r="S54" s="970"/>
      <c r="T54" s="853" t="s">
        <v>1468</v>
      </c>
      <c r="U54" s="853" t="s">
        <v>1468</v>
      </c>
      <c r="V54" s="853" t="s">
        <v>1468</v>
      </c>
      <c r="W54" s="853" t="s">
        <v>1468</v>
      </c>
      <c r="X54" s="853"/>
      <c r="Y54" s="1013"/>
      <c r="Z54" s="856" t="s">
        <v>1469</v>
      </c>
      <c r="AA54" s="856" t="s">
        <v>1469</v>
      </c>
      <c r="AB54" s="856" t="s">
        <v>1469</v>
      </c>
      <c r="AC54" s="856" t="s">
        <v>1469</v>
      </c>
      <c r="AD54" s="856"/>
    </row>
    <row customHeight="1" ht="36">
      <c r="A55" s="855"/>
      <c r="B55" s="911">
        <v>38</v>
      </c>
      <c r="C55" s="853">
        <v>1</v>
      </c>
      <c r="D55" s="980"/>
      <c r="E55" s="853"/>
      <c r="F55" s="853"/>
      <c r="G55" s="853"/>
      <c r="H55" s="903"/>
      <c r="I55" s="1018" t="str">
        <f>INDEX(TEMPLATE_NUMBER_POINT_FHD,B55,MATCH(TEMPLATE_SPHERE,TEMPLATE_SPHERE_LIST_FOR_NOTE,0))</f>
        <v>4.1</v>
      </c>
      <c r="J55" s="1018" t="str">
        <f>INDEX(TEMPLATE_DATA_POINT_FHD,B55,MATCH(TEMPLATE_SPHERE,TEMPLATE_SPHERE_LIST_FOR_NOTE,0))</f>
        <v>Изменение стоимости основных фондов за счет их ввода в эксплуатацию (вывода из эксплуатации)</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4.1</v>
      </c>
      <c r="M55" s="854" t="str">
        <f>IF(J55=0,"",J55)</f>
        <v>Изменение стоимости основных фондов за счет их ввода в эксплуатацию (вывода из эксплуатации)</v>
      </c>
      <c r="N55" s="854" t="str">
        <f>IF(K55=0,"",K55)</f>
        <v>Указываются общее изменение стоимости основных фондов за счет их ввода в эксплуатацию и вывода из эксплуатации.</v>
      </c>
      <c r="O55" s="970" t="s">
        <v>308</v>
      </c>
      <c r="P55" s="970" t="s">
        <v>1466</v>
      </c>
      <c r="Q55" s="970" t="s">
        <v>1466</v>
      </c>
      <c r="R55" s="970" t="s">
        <v>1466</v>
      </c>
      <c r="S55" s="970"/>
      <c r="T55" s="853" t="s">
        <v>1470</v>
      </c>
      <c r="U55" s="853" t="s">
        <v>1471</v>
      </c>
      <c r="V55" s="853" t="s">
        <v>1471</v>
      </c>
      <c r="W55" s="853" t="s">
        <v>1471</v>
      </c>
      <c r="X55" s="853"/>
      <c r="Y55" s="1013"/>
      <c r="Z55" s="856" t="s">
        <v>1472</v>
      </c>
      <c r="AA55" s="856" t="s">
        <v>1472</v>
      </c>
      <c r="AB55" s="856" t="s">
        <v>1472</v>
      </c>
      <c r="AC55" s="856" t="s">
        <v>1472</v>
      </c>
      <c r="AD55" s="856"/>
    </row>
    <row customHeight="1" ht="27">
      <c r="A56" s="855"/>
      <c r="B56" s="911">
        <v>39</v>
      </c>
      <c r="C56" s="853" t="s">
        <v>431</v>
      </c>
      <c r="D56" s="980"/>
      <c r="E56" s="853"/>
      <c r="F56" s="853"/>
      <c r="G56" s="853"/>
      <c r="H56" s="903"/>
      <c r="I56" s="1018" t="str">
        <f>INDEX(TEMPLATE_NUMBER_POINT_FHD,B56,MATCH(TEMPLATE_SPHERE,TEMPLATE_SPHERE_LIST_FOR_NOTE,0))</f>
        <v>4.1.1</v>
      </c>
      <c r="J56" s="1018" t="str">
        <f>INDEX(TEMPLATE_DATA_POINT_FHD,B56,MATCH(TEMPLATE_SPHERE,TEMPLATE_SPHERE_LIST_FOR_NOTE,0))</f>
        <v>Изменение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4.1.1</v>
      </c>
      <c r="M56" s="854" t="str">
        <f>IF(J56=0,"",J56)</f>
        <v>Изменение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1473</v>
      </c>
      <c r="P56" s="970" t="s">
        <v>1474</v>
      </c>
      <c r="Q56" s="970" t="s">
        <v>1474</v>
      </c>
      <c r="R56" s="970" t="s">
        <v>1474</v>
      </c>
      <c r="S56" s="970"/>
      <c r="T56" s="853" t="s">
        <v>1475</v>
      </c>
      <c r="U56" s="853" t="s">
        <v>1476</v>
      </c>
      <c r="V56" s="853" t="s">
        <v>1476</v>
      </c>
      <c r="W56" s="853" t="s">
        <v>1476</v>
      </c>
      <c r="X56" s="853"/>
      <c r="Y56" s="1013"/>
      <c r="Z56" s="856" t="s">
        <v>1477</v>
      </c>
      <c r="AA56" s="856" t="s">
        <v>1477</v>
      </c>
      <c r="AB56" s="856" t="s">
        <v>1477</v>
      </c>
      <c r="AC56" s="856" t="s">
        <v>1477</v>
      </c>
      <c r="AD56" s="856"/>
    </row>
    <row customHeight="1" ht="27">
      <c r="A57" s="855"/>
      <c r="B57" s="911">
        <v>40</v>
      </c>
      <c r="C57" s="853" t="s">
        <v>446</v>
      </c>
      <c r="D57" s="980"/>
      <c r="E57" s="853"/>
      <c r="F57" s="853"/>
      <c r="G57" s="853"/>
      <c r="H57" s="903"/>
      <c r="I57" s="1018" t="str">
        <f>INDEX(TEMPLATE_NUMBER_POINT_FHD,B57,MATCH(TEMPLATE_SPHERE,TEMPLATE_SPHERE_LIST_FOR_NOTE,0))</f>
        <v>4.1.2</v>
      </c>
      <c r="J57" s="1018" t="str">
        <f>INDEX(TEMPLATE_DATA_POINT_FHD,B57,MATCH(TEMPLATE_SPHERE,TEMPLATE_SPHERE_LIST_FOR_NOTE,0))</f>
        <v>Изменение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4.1.2</v>
      </c>
      <c r="M57" s="854" t="str">
        <f>IF(J57=0,"",J57)</f>
        <v>Изменение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1478</v>
      </c>
      <c r="P57" s="970" t="s">
        <v>1479</v>
      </c>
      <c r="Q57" s="970" t="s">
        <v>1479</v>
      </c>
      <c r="R57" s="970" t="s">
        <v>1479</v>
      </c>
      <c r="S57" s="970"/>
      <c r="T57" s="853" t="s">
        <v>1480</v>
      </c>
      <c r="U57" s="853" t="s">
        <v>1481</v>
      </c>
      <c r="V57" s="853" t="s">
        <v>1481</v>
      </c>
      <c r="W57" s="853" t="s">
        <v>1481</v>
      </c>
      <c r="X57" s="853"/>
      <c r="Y57" s="1013"/>
      <c r="Z57" s="856" t="s">
        <v>1482</v>
      </c>
      <c r="AA57" s="856" t="s">
        <v>1482</v>
      </c>
      <c r="AB57" s="856" t="s">
        <v>1482</v>
      </c>
      <c r="AC57" s="856" t="s">
        <v>1482</v>
      </c>
      <c r="AD57" s="856"/>
    </row>
    <row customHeight="1" ht="18">
      <c r="A58" s="855"/>
      <c r="B58" s="911">
        <v>41</v>
      </c>
      <c r="C58" s="853">
        <v>2</v>
      </c>
      <c r="D58" s="980"/>
      <c r="E58" s="853"/>
      <c r="F58" s="853"/>
      <c r="G58" s="853"/>
      <c r="H58" s="903"/>
      <c r="I58" s="1018" t="str">
        <f>INDEX(TEMPLATE_NUMBER_POINT_FHD,B58,MATCH(TEMPLATE_SPHERE,TEMPLATE_SPHERE_LIST_FOR_NOTE,0))</f>
        <v>4.2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4.2</v>
      </c>
      <c r="M58" s="854" t="str">
        <f>IF(J58=0,"",J58)</f>
        <v>Изменение стоимости основных фондов за счет их переоценки</v>
      </c>
      <c r="N58" s="854" t="str">
        <f>IF(K58=0,"",K58)</f>
        <v/>
      </c>
      <c r="O58" s="970" t="s">
        <v>310</v>
      </c>
      <c r="P58" s="970" t="s">
        <v>1483</v>
      </c>
      <c r="Q58" s="970" t="s">
        <v>1483</v>
      </c>
      <c r="R58" s="970" t="s">
        <v>1483</v>
      </c>
      <c r="S58" s="970"/>
      <c r="T58" s="853" t="s">
        <v>1484</v>
      </c>
      <c r="U58" s="853" t="s">
        <v>1484</v>
      </c>
      <c r="V58" s="853" t="s">
        <v>1484</v>
      </c>
      <c r="W58" s="853" t="s">
        <v>1484</v>
      </c>
      <c r="X58" s="853"/>
      <c r="Y58" s="1013"/>
      <c r="Z58" s="856"/>
      <c r="AA58" s="859"/>
      <c r="AB58" s="856"/>
      <c r="AC58" s="856"/>
      <c r="AD58" s="856"/>
    </row>
    <row customHeight="1" ht="36">
      <c r="A59" s="855"/>
      <c r="B59" s="911">
        <v>42</v>
      </c>
      <c r="C59" s="853">
        <v>3</v>
      </c>
      <c r="D59" s="980" t="s">
        <v>1459</v>
      </c>
      <c r="E59" s="853" t="s">
        <v>1459</v>
      </c>
      <c r="F59" s="853" t="s">
        <v>1459</v>
      </c>
      <c r="G59" s="853"/>
      <c r="H59" s="903"/>
      <c r="I59" s="1018" t="str">
        <f>INDEX(TEMPLATE_NUMBER_POINT_FHD,B59,MATCH(TEMPLATE_SPHERE,TEMPLATE_SPHERE_LIST_FOR_NOTE,0))</f>
        <v>5</v>
      </c>
      <c r="J59" s="101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18">
        <f>INDEX(TEMPLATE_NOTE_POINT_FHD,B59,MATCH(TEMPLATE_SPHERE,TEMPLATE_SPHERE_LIST_FOR_NOTE,0))</f>
        <v>0</v>
      </c>
      <c r="L59" s="854" t="str">
        <f>IF(I59=0,"",I59)</f>
        <v>5</v>
      </c>
      <c r="M59" s="854" t="str">
        <f>IF(J59=0,"",J59)</f>
        <v>Валовая прибыль (убытки) от продажи товаров и услуг по регулируемым видам деятельности в сфере водоотведения</v>
      </c>
      <c r="N59" s="854" t="str">
        <f>IF(K59=0,"",K59)</f>
        <v/>
      </c>
      <c r="O59" s="970"/>
      <c r="P59" s="970" t="s">
        <v>111</v>
      </c>
      <c r="Q59" s="970" t="s">
        <v>111</v>
      </c>
      <c r="R59" s="970" t="s">
        <v>111</v>
      </c>
      <c r="S59" s="970"/>
      <c r="T59" s="853"/>
      <c r="U59" s="853" t="s">
        <v>1485</v>
      </c>
      <c r="V59" s="853" t="s">
        <v>1486</v>
      </c>
      <c r="W59" s="853" t="s">
        <v>1487</v>
      </c>
      <c r="X59" s="853"/>
      <c r="Y59" s="1013"/>
      <c r="Z59" s="856"/>
      <c r="AA59" s="859"/>
      <c r="AB59" s="856"/>
      <c r="AC59" s="856"/>
      <c r="AD59" s="856"/>
    </row>
    <row customHeight="1" ht="81">
      <c r="A60" s="855"/>
      <c r="B60" s="911">
        <v>43</v>
      </c>
      <c r="C60" s="853" t="s">
        <v>1488</v>
      </c>
      <c r="D60" s="980" t="s">
        <v>1488</v>
      </c>
      <c r="E60" s="853" t="s">
        <v>1488</v>
      </c>
      <c r="F60" s="853" t="s">
        <v>1488</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0" t="s">
        <v>92</v>
      </c>
      <c r="P60" s="970" t="s">
        <v>92</v>
      </c>
      <c r="Q60" s="970" t="s">
        <v>92</v>
      </c>
      <c r="R60" s="970" t="s">
        <v>92</v>
      </c>
      <c r="S60" s="970"/>
      <c r="T60" s="853" t="s">
        <v>1489</v>
      </c>
      <c r="U60" s="853" t="s">
        <v>1489</v>
      </c>
      <c r="V60" s="853" t="s">
        <v>1489</v>
      </c>
      <c r="W60" s="853" t="s">
        <v>1489</v>
      </c>
      <c r="X60" s="853"/>
      <c r="Y60" s="1013"/>
      <c r="Z60" s="856" t="s">
        <v>1490</v>
      </c>
      <c r="AA60" s="859" t="s">
        <v>1491</v>
      </c>
      <c r="AB60" s="856" t="s">
        <v>1492</v>
      </c>
      <c r="AC60" s="856" t="s">
        <v>1491</v>
      </c>
      <c r="AD60" s="856"/>
    </row>
    <row customHeight="1" ht="9">
      <c r="A61" s="855"/>
      <c r="B61" s="911">
        <v>44</v>
      </c>
      <c r="C61" s="853"/>
      <c r="D61" s="980" t="s">
        <v>1493</v>
      </c>
      <c r="E61" s="853"/>
      <c r="F61" s="853"/>
      <c r="G61" s="853"/>
      <c r="H61" s="903"/>
      <c r="I61" s="1018">
        <f>INDEX(TEMPLATE_NUMBER_POINT_FHD,B61,MATCH(TEMPLATE_SPHERE,TEMPLATE_SPHERE_LIST_FOR_NOTE,0))</f>
        <v>0</v>
      </c>
      <c r="J61" s="1018">
        <f>INDEX(TEMPLATE_DATA_POINT_FHD,B61,MATCH(TEMPLATE_SPHERE,TEMPLATE_SPHERE_LIST_FOR_NOTE,0))</f>
        <v>0</v>
      </c>
      <c r="K61" s="1018">
        <f>INDEX(TEMPLATE_NOTE_POINT_FHD,B61,MATCH(TEMPLATE_SPHERE,TEMPLATE_SPHERE_LIST_FOR_NOTE,0))</f>
        <v>0</v>
      </c>
      <c r="L61" s="854" t="str">
        <f>IF(I61=0,"",I61)</f>
        <v/>
      </c>
      <c r="M61" s="854" t="str">
        <f>IF(J61=0,"",J61)</f>
        <v/>
      </c>
      <c r="N61" s="854" t="str">
        <f>IF(K61=0,"",K61)</f>
        <v/>
      </c>
      <c r="O61" s="970"/>
      <c r="P61" s="970" t="s">
        <v>93</v>
      </c>
      <c r="Q61" s="970"/>
      <c r="R61" s="970"/>
      <c r="S61" s="970"/>
      <c r="T61" s="853"/>
      <c r="U61" s="853" t="s">
        <v>1494</v>
      </c>
      <c r="V61" s="853"/>
      <c r="W61" s="853"/>
      <c r="X61" s="853"/>
      <c r="Y61" s="1013"/>
      <c r="Z61" s="856"/>
      <c r="AA61" s="859"/>
      <c r="AB61" s="856"/>
      <c r="AC61" s="856"/>
      <c r="AD61" s="856"/>
    </row>
    <row customHeight="1" ht="9">
      <c r="A62" s="855"/>
      <c r="B62" s="911">
        <v>45</v>
      </c>
      <c r="C62" s="853"/>
      <c r="D62" s="980" t="s">
        <v>1495</v>
      </c>
      <c r="E62" s="853"/>
      <c r="F62" s="853"/>
      <c r="G62" s="853"/>
      <c r="H62" s="903"/>
      <c r="I62" s="1018">
        <f>INDEX(TEMPLATE_NUMBER_POINT_FHD,B62,MATCH(TEMPLATE_SPHERE,TEMPLATE_SPHERE_LIST_FOR_NOTE,0))</f>
        <v>0</v>
      </c>
      <c r="J62" s="1018">
        <f>INDEX(TEMPLATE_DATA_POINT_FHD,B62,MATCH(TEMPLATE_SPHERE,TEMPLATE_SPHERE_LIST_FOR_NOTE,0))</f>
        <v>0</v>
      </c>
      <c r="K62" s="1018">
        <f>INDEX(TEMPLATE_NOTE_POINT_FHD,B62,MATCH(TEMPLATE_SPHERE,TEMPLATE_SPHERE_LIST_FOR_NOTE,0))</f>
        <v>0</v>
      </c>
      <c r="L62" s="854" t="str">
        <f>IF(I62=0,"",I62)</f>
        <v/>
      </c>
      <c r="M62" s="854" t="str">
        <f>IF(J62=0,"",J62)</f>
        <v/>
      </c>
      <c r="N62" s="854" t="str">
        <f>IF(K62=0,"",K62)</f>
        <v/>
      </c>
      <c r="O62" s="970"/>
      <c r="P62" s="970" t="s">
        <v>112</v>
      </c>
      <c r="Q62" s="970"/>
      <c r="R62" s="970"/>
      <c r="S62" s="970"/>
      <c r="T62" s="853"/>
      <c r="U62" s="853" t="s">
        <v>1496</v>
      </c>
      <c r="V62" s="853"/>
      <c r="W62" s="853"/>
      <c r="X62" s="853"/>
      <c r="Y62" s="1013"/>
      <c r="Z62" s="856"/>
      <c r="AA62" s="859"/>
      <c r="AB62" s="856"/>
      <c r="AC62" s="856"/>
      <c r="AD62" s="856"/>
    </row>
    <row customHeight="1" ht="18">
      <c r="A63" s="855"/>
      <c r="B63" s="911">
        <v>46</v>
      </c>
      <c r="C63" s="853"/>
      <c r="D63" s="980" t="s">
        <v>1497</v>
      </c>
      <c r="E63" s="853"/>
      <c r="F63" s="853"/>
      <c r="G63" s="853"/>
      <c r="H63" s="903"/>
      <c r="I63" s="1018">
        <f>INDEX(TEMPLATE_NUMBER_POINT_FHD,B63,MATCH(TEMPLATE_SPHERE,TEMPLATE_SPHERE_LIST_FOR_NOTE,0))</f>
        <v>0</v>
      </c>
      <c r="J63" s="1018">
        <f>INDEX(TEMPLATE_DATA_POINT_FHD,B63,MATCH(TEMPLATE_SPHERE,TEMPLATE_SPHERE_LIST_FOR_NOTE,0))</f>
        <v>0</v>
      </c>
      <c r="K63" s="1018">
        <f>INDEX(TEMPLATE_NOTE_POINT_FHD,B63,MATCH(TEMPLATE_SPHERE,TEMPLATE_SPHERE_LIST_FOR_NOTE,0))</f>
        <v>0</v>
      </c>
      <c r="L63" s="854" t="str">
        <f>IF(I63=0,"",I63)</f>
        <v/>
      </c>
      <c r="M63" s="854" t="str">
        <f>IF(J63=0,"",J63)</f>
        <v/>
      </c>
      <c r="N63" s="854" t="str">
        <f>IF(K63=0,"",K63)</f>
        <v/>
      </c>
      <c r="O63" s="970"/>
      <c r="P63" s="970" t="s">
        <v>155</v>
      </c>
      <c r="Q63" s="970"/>
      <c r="R63" s="970"/>
      <c r="S63" s="970"/>
      <c r="T63" s="853"/>
      <c r="U63" s="853" t="s">
        <v>1498</v>
      </c>
      <c r="V63" s="853"/>
      <c r="W63" s="853"/>
      <c r="X63" s="853"/>
      <c r="Y63" s="1013"/>
      <c r="Z63" s="856"/>
      <c r="AA63" s="859"/>
      <c r="AB63" s="856"/>
      <c r="AC63" s="856"/>
      <c r="AD63" s="856"/>
    </row>
    <row customHeight="1" ht="18">
      <c r="A64" s="855"/>
      <c r="B64" s="911">
        <v>47</v>
      </c>
      <c r="C64" s="853"/>
      <c r="D64" s="980" t="s">
        <v>1499</v>
      </c>
      <c r="E64" s="853"/>
      <c r="F64" s="853"/>
      <c r="G64" s="853"/>
      <c r="H64" s="903"/>
      <c r="I64" s="1018">
        <f>INDEX(TEMPLATE_NUMBER_POINT_FHD,B64,MATCH(TEMPLATE_SPHERE,TEMPLATE_SPHERE_LIST_FOR_NOTE,0))</f>
        <v>0</v>
      </c>
      <c r="J64" s="1018">
        <f>INDEX(TEMPLATE_DATA_POINT_FHD,B64,MATCH(TEMPLATE_SPHERE,TEMPLATE_SPHERE_LIST_FOR_NOTE,0))</f>
        <v>0</v>
      </c>
      <c r="K64" s="1018">
        <f>INDEX(TEMPLATE_NOTE_POINT_FHD,B64,MATCH(TEMPLATE_SPHERE,TEMPLATE_SPHERE_LIST_FOR_NOTE,0))</f>
        <v>0</v>
      </c>
      <c r="L64" s="854" t="str">
        <f>IF(I64=0,"",I64)</f>
        <v/>
      </c>
      <c r="M64" s="854" t="str">
        <f>IF(J64=0,"",J64)</f>
        <v/>
      </c>
      <c r="N64" s="854" t="str">
        <f>IF(K64=0,"",K64)</f>
        <v/>
      </c>
      <c r="O64" s="970"/>
      <c r="P64" s="970" t="s">
        <v>156</v>
      </c>
      <c r="Q64" s="970"/>
      <c r="R64" s="970"/>
      <c r="S64" s="970"/>
      <c r="T64" s="853"/>
      <c r="U64" s="853" t="s">
        <v>1500</v>
      </c>
      <c r="V64" s="853"/>
      <c r="W64" s="853"/>
      <c r="X64" s="853"/>
      <c r="Y64" s="1013"/>
      <c r="Z64" s="856"/>
      <c r="AA64" s="859" t="s">
        <v>1501</v>
      </c>
      <c r="AB64" s="856"/>
      <c r="AC64" s="856"/>
      <c r="AD64" s="856"/>
    </row>
    <row customHeight="1" ht="18">
      <c r="A65" s="855"/>
      <c r="B65" s="911">
        <v>48</v>
      </c>
      <c r="C65" s="853"/>
      <c r="D65" s="980"/>
      <c r="E65" s="853"/>
      <c r="F65" s="853"/>
      <c r="G65" s="853"/>
      <c r="H65" s="903"/>
      <c r="I65" s="1018">
        <f>INDEX(TEMPLATE_NUMBER_POINT_FHD,B65,MATCH(TEMPLATE_SPHERE,TEMPLATE_SPHERE_LIST_FOR_NOTE,0))</f>
        <v>0</v>
      </c>
      <c r="J65" s="1018">
        <f>INDEX(TEMPLATE_DATA_POINT_FHD,B65,MATCH(TEMPLATE_SPHERE,TEMPLATE_SPHERE_LIST_FOR_NOTE,0))</f>
        <v>0</v>
      </c>
      <c r="K65" s="1018">
        <f>INDEX(TEMPLATE_NOTE_POINT_FHD,B65,MATCH(TEMPLATE_SPHERE,TEMPLATE_SPHERE_LIST_FOR_NOTE,0))</f>
        <v>0</v>
      </c>
      <c r="L65" s="854" t="str">
        <f>IF(I65=0,"",I65)</f>
        <v/>
      </c>
      <c r="M65" s="854" t="str">
        <f>IF(J65=0,"",J65)</f>
        <v/>
      </c>
      <c r="N65" s="854" t="str">
        <f>IF(K65=0,"",K65)</f>
        <v/>
      </c>
      <c r="O65" s="970"/>
      <c r="P65" s="970" t="s">
        <v>1398</v>
      </c>
      <c r="Q65" s="970"/>
      <c r="R65" s="970"/>
      <c r="S65" s="970"/>
      <c r="T65" s="853"/>
      <c r="U65" s="853" t="s">
        <v>1502</v>
      </c>
      <c r="V65" s="853"/>
      <c r="W65" s="853"/>
      <c r="X65" s="853"/>
      <c r="Y65" s="1013"/>
      <c r="Z65" s="856"/>
      <c r="AA65" s="859"/>
      <c r="AB65" s="856"/>
      <c r="AC65" s="856"/>
      <c r="AD65" s="856"/>
    </row>
    <row customHeight="1" ht="18">
      <c r="A66" s="855"/>
      <c r="B66" s="911">
        <v>49</v>
      </c>
      <c r="C66" s="853"/>
      <c r="D66" s="980"/>
      <c r="E66" s="853"/>
      <c r="F66" s="853"/>
      <c r="G66" s="853"/>
      <c r="H66" s="903"/>
      <c r="I66" s="1018">
        <f>INDEX(TEMPLATE_NUMBER_POINT_FHD,B66,MATCH(TEMPLATE_SPHERE,TEMPLATE_SPHERE_LIST_FOR_NOTE,0))</f>
        <v>0</v>
      </c>
      <c r="J66" s="1018">
        <f>INDEX(TEMPLATE_DATA_POINT_FHD,B66,MATCH(TEMPLATE_SPHERE,TEMPLATE_SPHERE_LIST_FOR_NOTE,0))</f>
        <v>0</v>
      </c>
      <c r="K66" s="1018">
        <f>INDEX(TEMPLATE_NOTE_POINT_FHD,B66,MATCH(TEMPLATE_SPHERE,TEMPLATE_SPHERE_LIST_FOR_NOTE,0))</f>
        <v>0</v>
      </c>
      <c r="L66" s="854" t="str">
        <f>IF(I66=0,"",I66)</f>
        <v/>
      </c>
      <c r="M66" s="854" t="str">
        <f>IF(J66=0,"",J66)</f>
        <v/>
      </c>
      <c r="N66" s="854" t="str">
        <f>IF(K66=0,"",K66)</f>
        <v/>
      </c>
      <c r="O66" s="970"/>
      <c r="P66" s="970" t="s">
        <v>1402</v>
      </c>
      <c r="Q66" s="970"/>
      <c r="R66" s="970"/>
      <c r="S66" s="970"/>
      <c r="T66" s="853"/>
      <c r="U66" s="853" t="s">
        <v>1503</v>
      </c>
      <c r="V66" s="853"/>
      <c r="W66" s="853"/>
      <c r="X66" s="853"/>
      <c r="Y66" s="1013"/>
      <c r="Z66" s="856"/>
      <c r="AA66" s="859"/>
      <c r="AB66" s="856"/>
      <c r="AC66" s="856"/>
      <c r="AD66" s="856"/>
    </row>
    <row customHeight="1" ht="27">
      <c r="A67" s="855"/>
      <c r="B67" s="911">
        <v>50</v>
      </c>
      <c r="C67" s="853"/>
      <c r="D67" s="980"/>
      <c r="E67" s="853"/>
      <c r="F67" s="853"/>
      <c r="G67" s="853"/>
      <c r="H67" s="903"/>
      <c r="I67" s="1018">
        <f>INDEX(TEMPLATE_NUMBER_POINT_FHD,B67,MATCH(TEMPLATE_SPHERE,TEMPLATE_SPHERE_LIST_FOR_NOTE,0))</f>
        <v>0</v>
      </c>
      <c r="J67" s="1018">
        <f>INDEX(TEMPLATE_DATA_POINT_FHD,B67,MATCH(TEMPLATE_SPHERE,TEMPLATE_SPHERE_LIST_FOR_NOTE,0))</f>
        <v>0</v>
      </c>
      <c r="K67" s="1018">
        <f>INDEX(TEMPLATE_NOTE_POINT_FHD,B67,MATCH(TEMPLATE_SPHERE,TEMPLATE_SPHERE_LIST_FOR_NOTE,0))</f>
        <v>0</v>
      </c>
      <c r="L67" s="854" t="str">
        <f>IF(I67=0,"",I67)</f>
        <v/>
      </c>
      <c r="M67" s="854" t="str">
        <f>IF(J67=0,"",J67)</f>
        <v/>
      </c>
      <c r="N67" s="854" t="str">
        <f>IF(K67=0,"",K67)</f>
        <v/>
      </c>
      <c r="O67" s="970"/>
      <c r="P67" s="970" t="s">
        <v>1504</v>
      </c>
      <c r="Q67" s="970"/>
      <c r="R67" s="970"/>
      <c r="S67" s="970"/>
      <c r="T67" s="853"/>
      <c r="U67" s="853" t="s">
        <v>1505</v>
      </c>
      <c r="V67" s="853"/>
      <c r="W67" s="853"/>
      <c r="X67" s="853"/>
      <c r="Y67" s="1013"/>
      <c r="Z67" s="856"/>
      <c r="AA67" s="859"/>
      <c r="AB67" s="856"/>
      <c r="AC67" s="856"/>
      <c r="AD67" s="856"/>
    </row>
    <row customHeight="1" ht="27">
      <c r="A68" s="855"/>
      <c r="B68" s="911">
        <v>51</v>
      </c>
      <c r="C68" s="853"/>
      <c r="D68" s="980"/>
      <c r="E68" s="853"/>
      <c r="F68" s="853"/>
      <c r="G68" s="853"/>
      <c r="H68" s="903"/>
      <c r="I68" s="1018">
        <f>INDEX(TEMPLATE_NUMBER_POINT_FHD,B68,MATCH(TEMPLATE_SPHERE,TEMPLATE_SPHERE_LIST_FOR_NOTE,0))</f>
        <v>0</v>
      </c>
      <c r="J68" s="1018">
        <f>INDEX(TEMPLATE_DATA_POINT_FHD,B68,MATCH(TEMPLATE_SPHERE,TEMPLATE_SPHERE_LIST_FOR_NOTE,0))</f>
        <v>0</v>
      </c>
      <c r="K68" s="1018">
        <f>INDEX(TEMPLATE_NOTE_POINT_FHD,B68,MATCH(TEMPLATE_SPHERE,TEMPLATE_SPHERE_LIST_FOR_NOTE,0))</f>
        <v>0</v>
      </c>
      <c r="L68" s="854" t="str">
        <f>IF(I68=0,"",I68)</f>
        <v/>
      </c>
      <c r="M68" s="854" t="str">
        <f>IF(J68=0,"",J68)</f>
        <v/>
      </c>
      <c r="N68" s="854" t="str">
        <f>IF(K68=0,"",K68)</f>
        <v/>
      </c>
      <c r="O68" s="970"/>
      <c r="P68" s="970" t="s">
        <v>1506</v>
      </c>
      <c r="Q68" s="970"/>
      <c r="R68" s="970"/>
      <c r="S68" s="970"/>
      <c r="T68" s="853"/>
      <c r="U68" s="853" t="s">
        <v>1507</v>
      </c>
      <c r="V68" s="853"/>
      <c r="W68" s="853"/>
      <c r="X68" s="853"/>
      <c r="Y68" s="1013"/>
      <c r="Z68" s="856"/>
      <c r="AA68" s="859"/>
      <c r="AB68" s="856"/>
      <c r="AC68" s="856"/>
      <c r="AD68" s="856"/>
    </row>
    <row customHeight="1" ht="9">
      <c r="A69" s="855"/>
      <c r="B69" s="911">
        <v>52</v>
      </c>
      <c r="C69" s="853"/>
      <c r="D69" s="980" t="s">
        <v>1508</v>
      </c>
      <c r="E69" s="853"/>
      <c r="F69" s="853"/>
      <c r="G69" s="853"/>
      <c r="H69" s="903"/>
      <c r="I69" s="1018">
        <f>INDEX(TEMPLATE_NUMBER_POINT_FHD,B69,MATCH(TEMPLATE_SPHERE,TEMPLATE_SPHERE_LIST_FOR_NOTE,0))</f>
        <v>0</v>
      </c>
      <c r="J69" s="1018">
        <f>INDEX(TEMPLATE_DATA_POINT_FHD,B69,MATCH(TEMPLATE_SPHERE,TEMPLATE_SPHERE_LIST_FOR_NOTE,0))</f>
        <v>0</v>
      </c>
      <c r="K69" s="1018">
        <f>INDEX(TEMPLATE_NOTE_POINT_FHD,B69,MATCH(TEMPLATE_SPHERE,TEMPLATE_SPHERE_LIST_FOR_NOTE,0))</f>
        <v>0</v>
      </c>
      <c r="L69" s="854" t="str">
        <f>IF(I69=0,"",I69)</f>
        <v/>
      </c>
      <c r="M69" s="854" t="str">
        <f>IF(J69=0,"",J69)</f>
        <v/>
      </c>
      <c r="N69" s="854" t="str">
        <f>IF(K69=0,"",K69)</f>
        <v/>
      </c>
      <c r="O69" s="970"/>
      <c r="P69" s="970" t="s">
        <v>157</v>
      </c>
      <c r="Q69" s="970"/>
      <c r="R69" s="970"/>
      <c r="S69" s="970"/>
      <c r="T69" s="853"/>
      <c r="U69" s="853" t="s">
        <v>1509</v>
      </c>
      <c r="V69" s="853"/>
      <c r="W69" s="853"/>
      <c r="X69" s="853"/>
      <c r="Y69" s="1013"/>
      <c r="Z69" s="856"/>
      <c r="AA69" s="859"/>
      <c r="AB69" s="856"/>
      <c r="AC69" s="856"/>
      <c r="AD69" s="856"/>
    </row>
    <row customHeight="1" ht="27">
      <c r="A70" s="855"/>
      <c r="B70" s="911">
        <v>53</v>
      </c>
      <c r="C70" s="853"/>
      <c r="D70" s="980"/>
      <c r="E70" s="853" t="s">
        <v>1493</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93</v>
      </c>
      <c r="R70" s="970"/>
      <c r="S70" s="970"/>
      <c r="T70" s="853"/>
      <c r="U70" s="853"/>
      <c r="V70" s="853" t="s">
        <v>1510</v>
      </c>
      <c r="W70" s="853"/>
      <c r="X70" s="853"/>
      <c r="Y70" s="1013"/>
      <c r="Z70" s="856"/>
      <c r="AA70" s="859"/>
      <c r="AB70" s="856"/>
      <c r="AC70" s="856"/>
      <c r="AD70" s="856"/>
    </row>
    <row customHeight="1" ht="36">
      <c r="A71" s="855"/>
      <c r="B71" s="911">
        <v>54</v>
      </c>
      <c r="C71" s="853"/>
      <c r="D71" s="980"/>
      <c r="E71" s="853" t="s">
        <v>1495</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112</v>
      </c>
      <c r="R71" s="970"/>
      <c r="S71" s="970"/>
      <c r="T71" s="853"/>
      <c r="U71" s="853"/>
      <c r="V71" s="853" t="s">
        <v>1511</v>
      </c>
      <c r="W71" s="853"/>
      <c r="X71" s="853"/>
      <c r="Y71" s="1013"/>
      <c r="Z71" s="856"/>
      <c r="AA71" s="859"/>
      <c r="AB71" s="856"/>
      <c r="AC71" s="856"/>
      <c r="AD71" s="856"/>
    </row>
    <row customHeight="1" ht="27">
      <c r="A72" s="855"/>
      <c r="B72" s="911">
        <v>55</v>
      </c>
      <c r="C72" s="853"/>
      <c r="D72" s="980"/>
      <c r="E72" s="853" t="s">
        <v>1497</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155</v>
      </c>
      <c r="R72" s="970"/>
      <c r="S72" s="970"/>
      <c r="T72" s="853"/>
      <c r="U72" s="853"/>
      <c r="V72" s="853" t="s">
        <v>1512</v>
      </c>
      <c r="W72" s="853"/>
      <c r="X72" s="853"/>
      <c r="Y72" s="1013"/>
      <c r="Z72" s="856"/>
      <c r="AA72" s="859"/>
      <c r="AB72" s="856"/>
      <c r="AC72" s="856"/>
      <c r="AD72" s="856"/>
    </row>
    <row customHeight="1" ht="36">
      <c r="A73" s="855"/>
      <c r="B73" s="911">
        <v>56</v>
      </c>
      <c r="C73" s="853"/>
      <c r="D73" s="980"/>
      <c r="E73" s="853" t="s">
        <v>1499</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156</v>
      </c>
      <c r="R73" s="970"/>
      <c r="S73" s="970"/>
      <c r="T73" s="853"/>
      <c r="U73" s="853"/>
      <c r="V73" s="853" t="s">
        <v>1513</v>
      </c>
      <c r="W73" s="853"/>
      <c r="X73" s="853"/>
      <c r="Y73" s="1013"/>
      <c r="Z73" s="856"/>
      <c r="AA73" s="859"/>
      <c r="AB73" s="856"/>
      <c r="AC73" s="856"/>
      <c r="AD73" s="856"/>
    </row>
    <row customHeight="1" ht="18">
      <c r="A74" s="855"/>
      <c r="B74" s="911">
        <v>57</v>
      </c>
      <c r="C74" s="853"/>
      <c r="D74" s="980"/>
      <c r="E74" s="853" t="s">
        <v>1508</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157</v>
      </c>
      <c r="R74" s="970"/>
      <c r="S74" s="970"/>
      <c r="T74" s="853"/>
      <c r="U74" s="853"/>
      <c r="V74" s="853" t="s">
        <v>1514</v>
      </c>
      <c r="W74" s="853"/>
      <c r="X74" s="853"/>
      <c r="Y74" s="1013"/>
      <c r="Z74" s="856"/>
      <c r="AA74" s="859"/>
      <c r="AB74" s="856"/>
      <c r="AC74" s="856"/>
      <c r="AD74" s="856"/>
    </row>
    <row customHeight="1" ht="18">
      <c r="A75" s="855"/>
      <c r="B75" s="911">
        <v>58</v>
      </c>
      <c r="C75" s="853"/>
      <c r="D75" s="980"/>
      <c r="E75" s="853"/>
      <c r="F75" s="853" t="s">
        <v>1493</v>
      </c>
      <c r="G75" s="853"/>
      <c r="H75" s="903"/>
      <c r="I75" s="1018" t="str">
        <f>INDEX(TEMPLATE_NUMBER_POINT_FHD,B75,MATCH(TEMPLATE_SPHERE,TEMPLATE_SPHERE_LIST_FOR_NOTE,0))</f>
        <v>7</v>
      </c>
      <c r="J75" s="1018" t="str">
        <f>INDEX(TEMPLATE_DATA_POINT_FHD,B75,MATCH(TEMPLATE_SPHERE,TEMPLATE_SPHERE_LIST_FOR_NOTE,0))</f>
        <v>Объём сточных вод, принятых от потребителей</v>
      </c>
      <c r="K75" s="1018">
        <f>INDEX(TEMPLATE_NOTE_POINT_FHD,B75,MATCH(TEMPLATE_SPHERE,TEMPLATE_SPHERE_LIST_FOR_NOTE,0))</f>
        <v>0</v>
      </c>
      <c r="L75" s="854" t="str">
        <f>IF(I75=0,"",I75)</f>
        <v>7</v>
      </c>
      <c r="M75" s="854" t="str">
        <f>IF(J75=0,"",J75)</f>
        <v>Объём сточных вод, принятых от потребителей</v>
      </c>
      <c r="N75" s="854" t="str">
        <f>IF(K75=0,"",K75)</f>
        <v/>
      </c>
      <c r="O75" s="970"/>
      <c r="P75" s="970"/>
      <c r="Q75" s="970"/>
      <c r="R75" s="970" t="s">
        <v>93</v>
      </c>
      <c r="S75" s="970"/>
      <c r="T75" s="853"/>
      <c r="U75" s="853"/>
      <c r="V75" s="853"/>
      <c r="W75" s="853" t="s">
        <v>1515</v>
      </c>
      <c r="X75" s="853"/>
      <c r="Y75" s="1013"/>
      <c r="Z75" s="856"/>
      <c r="AA75" s="859"/>
      <c r="AB75" s="856"/>
      <c r="AC75" s="856"/>
      <c r="AD75" s="856"/>
    </row>
    <row customHeight="1" ht="36">
      <c r="A76" s="855"/>
      <c r="B76" s="911">
        <v>59</v>
      </c>
      <c r="C76" s="853"/>
      <c r="D76" s="980"/>
      <c r="E76" s="853"/>
      <c r="F76" s="853" t="s">
        <v>1495</v>
      </c>
      <c r="G76" s="853"/>
      <c r="H76" s="903"/>
      <c r="I76" s="1018" t="str">
        <f>INDEX(TEMPLATE_NUMBER_POINT_FHD,B76,MATCH(TEMPLATE_SPHERE,TEMPLATE_SPHERE_LIST_FOR_NOTE,0))</f>
        <v>8</v>
      </c>
      <c r="J76" s="101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18">
        <f>INDEX(TEMPLATE_NOTE_POINT_FHD,B76,MATCH(TEMPLATE_SPHERE,TEMPLATE_SPHERE_LIST_FOR_NOTE,0))</f>
        <v>0</v>
      </c>
      <c r="L76" s="854" t="str">
        <f>IF(I76=0,"",I76)</f>
        <v>8</v>
      </c>
      <c r="M76" s="854" t="str">
        <f>IF(J76=0,"",J76)</f>
        <v>Объём сточных вод, принятых от других регулируемых организаций, осуществляющих водоотведение и (или) очистку сточных вод</v>
      </c>
      <c r="N76" s="854" t="str">
        <f>IF(K76=0,"",K76)</f>
        <v/>
      </c>
      <c r="O76" s="970"/>
      <c r="P76" s="970"/>
      <c r="Q76" s="970"/>
      <c r="R76" s="970" t="s">
        <v>112</v>
      </c>
      <c r="S76" s="970"/>
      <c r="T76" s="853"/>
      <c r="U76" s="853"/>
      <c r="V76" s="853"/>
      <c r="W76" s="853" t="s">
        <v>1516</v>
      </c>
      <c r="X76" s="853"/>
      <c r="Y76" s="1013"/>
      <c r="Z76" s="856"/>
      <c r="AA76" s="859"/>
      <c r="AB76" s="856"/>
      <c r="AC76" s="856"/>
      <c r="AD76" s="856"/>
    </row>
    <row customHeight="1" ht="18">
      <c r="A77" s="855"/>
      <c r="B77" s="911">
        <v>60</v>
      </c>
      <c r="C77" s="853"/>
      <c r="D77" s="980"/>
      <c r="E77" s="853"/>
      <c r="F77" s="853" t="s">
        <v>1497</v>
      </c>
      <c r="G77" s="853"/>
      <c r="H77" s="903"/>
      <c r="I77" s="1018" t="str">
        <f>INDEX(TEMPLATE_NUMBER_POINT_FHD,B77,MATCH(TEMPLATE_SPHERE,TEMPLATE_SPHERE_LIST_FOR_NOTE,0))</f>
        <v>9</v>
      </c>
      <c r="J77" s="1018" t="str">
        <f>INDEX(TEMPLATE_DATA_POINT_FHD,B77,MATCH(TEMPLATE_SPHERE,TEMPLATE_SPHERE_LIST_FOR_NOTE,0))</f>
        <v>Объём сточных вод, пропущенных через очистные сооружения</v>
      </c>
      <c r="K77" s="1018">
        <f>INDEX(TEMPLATE_NOTE_POINT_FHD,B77,MATCH(TEMPLATE_SPHERE,TEMPLATE_SPHERE_LIST_FOR_NOTE,0))</f>
        <v>0</v>
      </c>
      <c r="L77" s="854" t="str">
        <f>IF(I77=0,"",I77)</f>
        <v>9</v>
      </c>
      <c r="M77" s="854" t="str">
        <f>IF(J77=0,"",J77)</f>
        <v>Объём сточных вод, пропущенных через очистные сооружения</v>
      </c>
      <c r="N77" s="854" t="str">
        <f>IF(K77=0,"",K77)</f>
        <v/>
      </c>
      <c r="O77" s="970"/>
      <c r="P77" s="970"/>
      <c r="Q77" s="970"/>
      <c r="R77" s="970" t="s">
        <v>155</v>
      </c>
      <c r="S77" s="970"/>
      <c r="T77" s="853"/>
      <c r="U77" s="853"/>
      <c r="V77" s="853"/>
      <c r="W77" s="853" t="s">
        <v>1517</v>
      </c>
      <c r="X77" s="853"/>
      <c r="Y77" s="1013"/>
      <c r="Z77" s="856"/>
      <c r="AA77" s="859"/>
      <c r="AB77" s="856"/>
      <c r="AC77" s="856"/>
      <c r="AD77" s="856"/>
    </row>
    <row customHeight="1" ht="72">
      <c r="A78" s="855"/>
      <c r="B78" s="911">
        <v>61</v>
      </c>
      <c r="C78" s="853" t="s">
        <v>1493</v>
      </c>
      <c r="D78" s="980"/>
      <c r="E78" s="853"/>
      <c r="F78" s="853"/>
      <c r="G78" s="853"/>
      <c r="H78" s="903"/>
      <c r="I78" s="1018">
        <f>INDEX(TEMPLATE_NUMBER_POINT_FHD,B78,MATCH(TEMPLATE_SPHERE,TEMPLATE_SPHERE_LIST_FOR_NOTE,0))</f>
        <v>0</v>
      </c>
      <c r="J78" s="1018">
        <f>INDEX(TEMPLATE_DATA_POINT_FHD,B78,MATCH(TEMPLATE_SPHERE,TEMPLATE_SPHERE_LIST_FOR_NOTE,0))</f>
        <v>0</v>
      </c>
      <c r="K78" s="1018">
        <f>INDEX(TEMPLATE_NOTE_POINT_FHD,B78,MATCH(TEMPLATE_SPHERE,TEMPLATE_SPHERE_LIST_FOR_NOTE,0))</f>
        <v>0</v>
      </c>
      <c r="L78" s="854" t="str">
        <f>IF(I78=0,"",I78)</f>
        <v/>
      </c>
      <c r="M78" s="854" t="str">
        <f>IF(J78=0,"",J78)</f>
        <v/>
      </c>
      <c r="N78" s="854" t="str">
        <f>IF(K78=0,"",K78)</f>
        <v/>
      </c>
      <c r="O78" s="970" t="s">
        <v>93</v>
      </c>
      <c r="P78" s="970"/>
      <c r="Q78" s="970"/>
      <c r="R78" s="970"/>
      <c r="S78" s="970"/>
      <c r="T78" s="853" t="s">
        <v>1518</v>
      </c>
      <c r="U78" s="853"/>
      <c r="V78" s="853"/>
      <c r="W78" s="853"/>
      <c r="X78" s="853"/>
      <c r="Y78" s="1013"/>
      <c r="Z78" s="856" t="s">
        <v>1519</v>
      </c>
      <c r="AA78" s="859"/>
      <c r="AB78" s="856"/>
      <c r="AC78" s="856"/>
      <c r="AD78" s="856"/>
    </row>
    <row customHeight="1" ht="36">
      <c r="A79" s="855"/>
      <c r="B79" s="911">
        <v>62</v>
      </c>
      <c r="C79" s="853" t="s">
        <v>1495</v>
      </c>
      <c r="D79" s="980"/>
      <c r="E79" s="853"/>
      <c r="F79" s="853"/>
      <c r="G79" s="853"/>
      <c r="H79" s="903"/>
      <c r="I79" s="1018">
        <f>INDEX(TEMPLATE_NUMBER_POINT_FHD,B79,MATCH(TEMPLATE_SPHERE,TEMPLATE_SPHERE_LIST_FOR_NOTE,0))</f>
        <v>0</v>
      </c>
      <c r="J79" s="1018">
        <f>INDEX(TEMPLATE_DATA_POINT_FHD,B79,MATCH(TEMPLATE_SPHERE,TEMPLATE_SPHERE_LIST_FOR_NOTE,0))</f>
        <v>0</v>
      </c>
      <c r="K79" s="1018">
        <f>INDEX(TEMPLATE_NOTE_POINT_FHD,B79,MATCH(TEMPLATE_SPHERE,TEMPLATE_SPHERE_LIST_FOR_NOTE,0))</f>
        <v>0</v>
      </c>
      <c r="L79" s="854" t="str">
        <f>IF(I79=0,"",I79)</f>
        <v/>
      </c>
      <c r="M79" s="854" t="str">
        <f>IF(J79=0,"",J79)</f>
        <v/>
      </c>
      <c r="N79" s="854" t="str">
        <f>IF(K79=0,"",K79)</f>
        <v/>
      </c>
      <c r="O79" s="970" t="s">
        <v>112</v>
      </c>
      <c r="P79" s="970"/>
      <c r="Q79" s="970"/>
      <c r="R79" s="970"/>
      <c r="S79" s="970"/>
      <c r="T79" s="853" t="s">
        <v>1520</v>
      </c>
      <c r="U79" s="853"/>
      <c r="V79" s="853"/>
      <c r="W79" s="853"/>
      <c r="X79" s="853"/>
      <c r="Y79" s="1013"/>
      <c r="Z79" s="856" t="s">
        <v>1521</v>
      </c>
      <c r="AA79" s="859"/>
      <c r="AB79" s="856"/>
      <c r="AC79" s="856"/>
      <c r="AD79" s="856"/>
    </row>
    <row customHeight="1" ht="45">
      <c r="A80" s="855"/>
      <c r="B80" s="911">
        <v>63</v>
      </c>
      <c r="C80" s="853" t="s">
        <v>1497</v>
      </c>
      <c r="D80" s="980"/>
      <c r="E80" s="853"/>
      <c r="F80" s="853"/>
      <c r="G80" s="853"/>
      <c r="H80" s="903"/>
      <c r="I80" s="1018">
        <f>INDEX(TEMPLATE_NUMBER_POINT_FHD,B80,MATCH(TEMPLATE_SPHERE,TEMPLATE_SPHERE_LIST_FOR_NOTE,0))</f>
        <v>0</v>
      </c>
      <c r="J80" s="1018">
        <f>INDEX(TEMPLATE_DATA_POINT_FHD,B80,MATCH(TEMPLATE_SPHERE,TEMPLATE_SPHERE_LIST_FOR_NOTE,0))</f>
        <v>0</v>
      </c>
      <c r="K80" s="1018">
        <f>INDEX(TEMPLATE_NOTE_POINT_FHD,B80,MATCH(TEMPLATE_SPHERE,TEMPLATE_SPHERE_LIST_FOR_NOTE,0))</f>
        <v>0</v>
      </c>
      <c r="L80" s="854" t="str">
        <f>IF(I80=0,"",I80)</f>
        <v/>
      </c>
      <c r="M80" s="854" t="str">
        <f>IF(J80=0,"",J80)</f>
        <v/>
      </c>
      <c r="N80" s="854" t="str">
        <f>IF(K80=0,"",K80)</f>
        <v/>
      </c>
      <c r="O80" s="970" t="s">
        <v>155</v>
      </c>
      <c r="P80" s="970"/>
      <c r="Q80" s="970"/>
      <c r="R80" s="970"/>
      <c r="S80" s="970"/>
      <c r="T80" s="853" t="s">
        <v>1522</v>
      </c>
      <c r="U80" s="853"/>
      <c r="V80" s="853"/>
      <c r="W80" s="853"/>
      <c r="X80" s="853"/>
      <c r="Y80" s="1013"/>
      <c r="Z80" s="856" t="s">
        <v>1523</v>
      </c>
      <c r="AA80" s="859"/>
      <c r="AB80" s="856"/>
      <c r="AC80" s="856"/>
      <c r="AD80" s="856"/>
    </row>
    <row customHeight="1" ht="36">
      <c r="A81" s="855"/>
      <c r="B81" s="911">
        <v>64</v>
      </c>
      <c r="C81" s="853" t="s">
        <v>1499</v>
      </c>
      <c r="D81" s="980"/>
      <c r="E81" s="853"/>
      <c r="F81" s="853"/>
      <c r="G81" s="853"/>
      <c r="H81" s="903"/>
      <c r="I81" s="1018">
        <f>INDEX(TEMPLATE_NUMBER_POINT_FHD,B81,MATCH(TEMPLATE_SPHERE,TEMPLATE_SPHERE_LIST_FOR_NOTE,0))</f>
        <v>0</v>
      </c>
      <c r="J81" s="1018">
        <f>INDEX(TEMPLATE_DATA_POINT_FHD,B81,MATCH(TEMPLATE_SPHERE,TEMPLATE_SPHERE_LIST_FOR_NOTE,0))</f>
        <v>0</v>
      </c>
      <c r="K81" s="1018">
        <f>INDEX(TEMPLATE_NOTE_POINT_FHD,B81,MATCH(TEMPLATE_SPHERE,TEMPLATE_SPHERE_LIST_FOR_NOTE,0))</f>
        <v>0</v>
      </c>
      <c r="L81" s="854" t="str">
        <f>IF(I81=0,"",I81)</f>
        <v/>
      </c>
      <c r="M81" s="854" t="str">
        <f>IF(J81=0,"",J81)</f>
        <v/>
      </c>
      <c r="N81" s="854" t="str">
        <f>IF(K81=0,"",K81)</f>
        <v/>
      </c>
      <c r="O81" s="970" t="s">
        <v>1386</v>
      </c>
      <c r="P81" s="970"/>
      <c r="Q81" s="970"/>
      <c r="R81" s="970"/>
      <c r="S81" s="970"/>
      <c r="T81" s="853" t="s">
        <v>1524</v>
      </c>
      <c r="U81" s="853"/>
      <c r="V81" s="853"/>
      <c r="W81" s="853"/>
      <c r="X81" s="853"/>
      <c r="Y81" s="1013"/>
      <c r="Z81" s="856" t="s">
        <v>1525</v>
      </c>
      <c r="AA81" s="859"/>
      <c r="AB81" s="856"/>
      <c r="AC81" s="856"/>
      <c r="AD81" s="856"/>
    </row>
    <row customHeight="1" ht="90">
      <c r="A82" s="855"/>
      <c r="B82" s="911">
        <v>65</v>
      </c>
      <c r="C82" s="853" t="s">
        <v>1508</v>
      </c>
      <c r="D82" s="980"/>
      <c r="E82" s="853"/>
      <c r="F82" s="853"/>
      <c r="G82" s="853"/>
      <c r="H82" s="903"/>
      <c r="I82" s="1018">
        <f>INDEX(TEMPLATE_NUMBER_POINT_FHD,B82,MATCH(TEMPLATE_SPHERE,TEMPLATE_SPHERE_LIST_FOR_NOTE,0))</f>
        <v>0</v>
      </c>
      <c r="J82" s="1018">
        <f>INDEX(TEMPLATE_DATA_POINT_FHD,B82,MATCH(TEMPLATE_SPHERE,TEMPLATE_SPHERE_LIST_FOR_NOTE,0))</f>
        <v>0</v>
      </c>
      <c r="K82" s="1018">
        <f>INDEX(TEMPLATE_NOTE_POINT_FHD,B82,MATCH(TEMPLATE_SPHERE,TEMPLATE_SPHERE_LIST_FOR_NOTE,0))</f>
        <v>0</v>
      </c>
      <c r="L82" s="854" t="str">
        <f>IF(I82=0,"",I82)</f>
        <v/>
      </c>
      <c r="M82" s="854" t="str">
        <f>IF(J82=0,"",J82)</f>
        <v/>
      </c>
      <c r="N82" s="854" t="str">
        <f>IF(K82=0,"",K82)</f>
        <v/>
      </c>
      <c r="O82" s="970" t="s">
        <v>156</v>
      </c>
      <c r="P82" s="970"/>
      <c r="Q82" s="970"/>
      <c r="R82" s="970"/>
      <c r="S82" s="970"/>
      <c r="T82" s="853" t="s">
        <v>1526</v>
      </c>
      <c r="U82" s="853"/>
      <c r="V82" s="853"/>
      <c r="W82" s="853"/>
      <c r="X82" s="853"/>
      <c r="Y82" s="1013"/>
      <c r="Z82" s="856" t="s">
        <v>1527</v>
      </c>
      <c r="AA82" s="859"/>
      <c r="AB82" s="856"/>
      <c r="AC82" s="856"/>
      <c r="AD82" s="856"/>
    </row>
    <row customHeight="1" ht="9">
      <c r="A83" s="855"/>
      <c r="B83" s="911">
        <v>66</v>
      </c>
      <c r="C83" s="853"/>
      <c r="D83" s="980"/>
      <c r="E83" s="853"/>
      <c r="F83" s="853"/>
      <c r="G83" s="853"/>
      <c r="H83" s="903"/>
      <c r="I83" s="1018">
        <f>INDEX(TEMPLATE_NUMBER_POINT_FHD,B83,MATCH(TEMPLATE_SPHERE,TEMPLATE_SPHERE_LIST_FOR_NOTE,0))</f>
        <v>0</v>
      </c>
      <c r="J83" s="1018">
        <f>INDEX(TEMPLATE_DATA_POINT_FHD,B83,MATCH(TEMPLATE_SPHERE,TEMPLATE_SPHERE_LIST_FOR_NOTE,0))</f>
        <v>0</v>
      </c>
      <c r="K83" s="1018">
        <f>INDEX(TEMPLATE_NOTE_POINT_FHD,B83,MATCH(TEMPLATE_SPHERE,TEMPLATE_SPHERE_LIST_FOR_NOTE,0))</f>
        <v>0</v>
      </c>
      <c r="L83" s="854" t="str">
        <f>IF(I83=0,"",I83)</f>
        <v/>
      </c>
      <c r="M83" s="854" t="str">
        <f>IF(J83=0,"",J83)</f>
        <v/>
      </c>
      <c r="N83" s="854" t="str">
        <f>IF(K83=0,"",K83)</f>
        <v/>
      </c>
      <c r="O83" s="970" t="s">
        <v>1398</v>
      </c>
      <c r="P83" s="970"/>
      <c r="Q83" s="970"/>
      <c r="R83" s="970"/>
      <c r="S83" s="970"/>
      <c r="T83" s="853" t="s">
        <v>1528</v>
      </c>
      <c r="U83" s="853"/>
      <c r="V83" s="853"/>
      <c r="W83" s="853"/>
      <c r="X83" s="853"/>
      <c r="Y83" s="1013"/>
      <c r="Z83" s="856"/>
      <c r="AA83" s="859"/>
      <c r="AB83" s="856"/>
      <c r="AC83" s="856"/>
      <c r="AD83" s="856"/>
    </row>
    <row customHeight="1" ht="54">
      <c r="A84" s="855"/>
      <c r="B84" s="911">
        <v>67</v>
      </c>
      <c r="C84" s="853"/>
      <c r="D84" s="980"/>
      <c r="E84" s="853"/>
      <c r="F84" s="853"/>
      <c r="G84" s="853"/>
      <c r="H84" s="903"/>
      <c r="I84" s="1018">
        <f>INDEX(TEMPLATE_NUMBER_POINT_FHD,B84,MATCH(TEMPLATE_SPHERE,TEMPLATE_SPHERE_LIST_FOR_NOTE,0))</f>
        <v>0</v>
      </c>
      <c r="J84" s="1018">
        <f>INDEX(TEMPLATE_DATA_POINT_FHD,B84,MATCH(TEMPLATE_SPHERE,TEMPLATE_SPHERE_LIST_FOR_NOTE,0))</f>
        <v>0</v>
      </c>
      <c r="K84" s="1018">
        <f>INDEX(TEMPLATE_NOTE_POINT_FHD,B84,MATCH(TEMPLATE_SPHERE,TEMPLATE_SPHERE_LIST_FOR_NOTE,0))</f>
        <v>0</v>
      </c>
      <c r="L84" s="854" t="str">
        <f>IF(I84=0,"",I84)</f>
        <v/>
      </c>
      <c r="M84" s="854" t="str">
        <f>IF(J84=0,"",J84)</f>
        <v/>
      </c>
      <c r="N84" s="854" t="str">
        <f>IF(K84=0,"",K84)</f>
        <v/>
      </c>
      <c r="O84" s="970" t="s">
        <v>1529</v>
      </c>
      <c r="P84" s="970"/>
      <c r="Q84" s="970"/>
      <c r="R84" s="970"/>
      <c r="S84" s="970"/>
      <c r="T84" s="853" t="s">
        <v>1530</v>
      </c>
      <c r="U84" s="853"/>
      <c r="V84" s="853"/>
      <c r="W84" s="853"/>
      <c r="X84" s="853"/>
      <c r="Y84" s="1013"/>
      <c r="Z84" s="856"/>
      <c r="AA84" s="859"/>
      <c r="AB84" s="856"/>
      <c r="AC84" s="856"/>
      <c r="AD84" s="856"/>
    </row>
    <row customHeight="1" ht="9">
      <c r="A85" s="855"/>
      <c r="B85" s="911">
        <v>68</v>
      </c>
      <c r="C85" s="853"/>
      <c r="D85" s="980"/>
      <c r="E85" s="853"/>
      <c r="F85" s="853"/>
      <c r="G85" s="853"/>
      <c r="H85" s="903"/>
      <c r="I85" s="1018">
        <f>INDEX(TEMPLATE_NUMBER_POINT_FHD,B85,MATCH(TEMPLATE_SPHERE,TEMPLATE_SPHERE_LIST_FOR_NOTE,0))</f>
        <v>0</v>
      </c>
      <c r="J85" s="1018">
        <f>INDEX(TEMPLATE_DATA_POINT_FHD,B85,MATCH(TEMPLATE_SPHERE,TEMPLATE_SPHERE_LIST_FOR_NOTE,0))</f>
        <v>0</v>
      </c>
      <c r="K85" s="1018">
        <f>INDEX(TEMPLATE_NOTE_POINT_FHD,B85,MATCH(TEMPLATE_SPHERE,TEMPLATE_SPHERE_LIST_FOR_NOTE,0))</f>
        <v>0</v>
      </c>
      <c r="L85" s="854" t="str">
        <f>IF(I85=0,"",I85)</f>
        <v/>
      </c>
      <c r="M85" s="854" t="str">
        <f>IF(J85=0,"",J85)</f>
        <v/>
      </c>
      <c r="N85" s="854" t="str">
        <f>IF(K85=0,"",K85)</f>
        <v/>
      </c>
      <c r="O85" s="970" t="s">
        <v>1402</v>
      </c>
      <c r="P85" s="970"/>
      <c r="Q85" s="970"/>
      <c r="R85" s="970"/>
      <c r="S85" s="970"/>
      <c r="T85" s="853" t="s">
        <v>1531</v>
      </c>
      <c r="U85" s="853"/>
      <c r="V85" s="853"/>
      <c r="W85" s="853"/>
      <c r="X85" s="853"/>
      <c r="Y85" s="1013"/>
      <c r="Z85" s="856"/>
      <c r="AA85" s="859"/>
      <c r="AB85" s="856"/>
      <c r="AC85" s="856"/>
      <c r="AD85" s="856"/>
    </row>
    <row customHeight="1" ht="27">
      <c r="A86" s="855"/>
      <c r="B86" s="911">
        <v>69</v>
      </c>
      <c r="C86" s="853"/>
      <c r="D86" s="980"/>
      <c r="E86" s="853"/>
      <c r="F86" s="853"/>
      <c r="G86" s="853"/>
      <c r="H86" s="903"/>
      <c r="I86" s="1018">
        <f>INDEX(TEMPLATE_NUMBER_POINT_FHD,B86,MATCH(TEMPLATE_SPHERE,TEMPLATE_SPHERE_LIST_FOR_NOTE,0))</f>
        <v>0</v>
      </c>
      <c r="J86" s="1018">
        <f>INDEX(TEMPLATE_DATA_POINT_FHD,B86,MATCH(TEMPLATE_SPHERE,TEMPLATE_SPHERE_LIST_FOR_NOTE,0))</f>
        <v>0</v>
      </c>
      <c r="K86" s="1018">
        <f>INDEX(TEMPLATE_NOTE_POINT_FHD,B86,MATCH(TEMPLATE_SPHERE,TEMPLATE_SPHERE_LIST_FOR_NOTE,0))</f>
        <v>0</v>
      </c>
      <c r="L86" s="854" t="str">
        <f>IF(I86=0,"",I86)</f>
        <v/>
      </c>
      <c r="M86" s="854" t="str">
        <f>IF(J86=0,"",J86)</f>
        <v/>
      </c>
      <c r="N86" s="854" t="str">
        <f>IF(K86=0,"",K86)</f>
        <v/>
      </c>
      <c r="O86" s="970" t="s">
        <v>1532</v>
      </c>
      <c r="P86" s="970"/>
      <c r="Q86" s="970"/>
      <c r="R86" s="970"/>
      <c r="S86" s="970"/>
      <c r="T86" s="853" t="s">
        <v>1533</v>
      </c>
      <c r="U86" s="853"/>
      <c r="V86" s="853"/>
      <c r="W86" s="853"/>
      <c r="X86" s="853"/>
      <c r="Y86" s="1013"/>
      <c r="Z86" s="856"/>
      <c r="AA86" s="859"/>
      <c r="AB86" s="856"/>
      <c r="AC86" s="856"/>
      <c r="AD86" s="856"/>
    </row>
    <row customHeight="1" ht="36">
      <c r="A87" s="855"/>
      <c r="B87" s="911">
        <v>70</v>
      </c>
      <c r="C87" s="853" t="s">
        <v>1534</v>
      </c>
      <c r="D87" s="980"/>
      <c r="E87" s="853"/>
      <c r="F87" s="853"/>
      <c r="G87" s="853"/>
      <c r="H87" s="903"/>
      <c r="I87" s="1018">
        <f>INDEX(TEMPLATE_NUMBER_POINT_FHD,B87,MATCH(TEMPLATE_SPHERE,TEMPLATE_SPHERE_LIST_FOR_NOTE,0))</f>
        <v>0</v>
      </c>
      <c r="J87" s="1018">
        <f>INDEX(TEMPLATE_DATA_POINT_FHD,B87,MATCH(TEMPLATE_SPHERE,TEMPLATE_SPHERE_LIST_FOR_NOTE,0))</f>
        <v>0</v>
      </c>
      <c r="K87" s="1018">
        <f>INDEX(TEMPLATE_NOTE_POINT_FHD,B87,MATCH(TEMPLATE_SPHERE,TEMPLATE_SPHERE_LIST_FOR_NOTE,0))</f>
        <v>0</v>
      </c>
      <c r="L87" s="854" t="str">
        <f>IF(I87=0,"",I87)</f>
        <v/>
      </c>
      <c r="M87" s="854" t="str">
        <f>IF(J87=0,"",J87)</f>
        <v/>
      </c>
      <c r="N87" s="854" t="str">
        <f>IF(K87=0,"",K87)</f>
        <v/>
      </c>
      <c r="O87" s="970" t="s">
        <v>157</v>
      </c>
      <c r="P87" s="970"/>
      <c r="Q87" s="970"/>
      <c r="R87" s="970"/>
      <c r="S87" s="970"/>
      <c r="T87" s="853" t="s">
        <v>1535</v>
      </c>
      <c r="U87" s="853"/>
      <c r="V87" s="853"/>
      <c r="W87" s="853"/>
      <c r="X87" s="853"/>
      <c r="Y87" s="1013"/>
      <c r="Z87" s="856"/>
      <c r="AA87" s="859"/>
      <c r="AB87" s="856"/>
      <c r="AC87" s="856"/>
      <c r="AD87" s="856"/>
    </row>
    <row customHeight="1" ht="18">
      <c r="A88" s="855"/>
      <c r="B88" s="911">
        <v>71</v>
      </c>
      <c r="C88" s="853" t="s">
        <v>1536</v>
      </c>
      <c r="D88" s="980"/>
      <c r="E88" s="853"/>
      <c r="F88" s="853"/>
      <c r="G88" s="853"/>
      <c r="H88" s="903"/>
      <c r="I88" s="1018">
        <f>INDEX(TEMPLATE_NUMBER_POINT_FHD,B88,MATCH(TEMPLATE_SPHERE,TEMPLATE_SPHERE_LIST_FOR_NOTE,0))</f>
        <v>0</v>
      </c>
      <c r="J88" s="1018">
        <f>INDEX(TEMPLATE_DATA_POINT_FHD,B88,MATCH(TEMPLATE_SPHERE,TEMPLATE_SPHERE_LIST_FOR_NOTE,0))</f>
        <v>0</v>
      </c>
      <c r="K88" s="1018">
        <f>INDEX(TEMPLATE_NOTE_POINT_FHD,B88,MATCH(TEMPLATE_SPHERE,TEMPLATE_SPHERE_LIST_FOR_NOTE,0))</f>
        <v>0</v>
      </c>
      <c r="L88" s="854" t="str">
        <f>IF(I88=0,"",I88)</f>
        <v/>
      </c>
      <c r="M88" s="854" t="str">
        <f>IF(J88=0,"",J88)</f>
        <v/>
      </c>
      <c r="N88" s="854" t="str">
        <f>IF(K88=0,"",K88)</f>
        <v/>
      </c>
      <c r="O88" s="970" t="s">
        <v>158</v>
      </c>
      <c r="P88" s="970"/>
      <c r="Q88" s="970"/>
      <c r="R88" s="970"/>
      <c r="S88" s="970"/>
      <c r="T88" s="853" t="s">
        <v>1537</v>
      </c>
      <c r="U88" s="853"/>
      <c r="V88" s="853"/>
      <c r="W88" s="853"/>
      <c r="X88" s="853"/>
      <c r="Y88" s="1013"/>
      <c r="Z88" s="856"/>
      <c r="AA88" s="859"/>
      <c r="AB88" s="856"/>
      <c r="AC88" s="856"/>
      <c r="AD88" s="856"/>
    </row>
    <row customHeight="1" ht="18">
      <c r="A89" s="855"/>
      <c r="B89" s="911">
        <v>72</v>
      </c>
      <c r="C89" s="853" t="s">
        <v>1538</v>
      </c>
      <c r="D89" s="980" t="s">
        <v>1534</v>
      </c>
      <c r="E89" s="853" t="s">
        <v>1534</v>
      </c>
      <c r="F89" s="853" t="s">
        <v>1499</v>
      </c>
      <c r="G89" s="853"/>
      <c r="H89" s="903"/>
      <c r="I89" s="1018" t="str">
        <f>INDEX(TEMPLATE_NUMBER_POINT_FHD,B89,MATCH(TEMPLATE_SPHERE,TEMPLATE_SPHERE_LIST_FOR_NOTE,0))</f>
        <v>10</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10</v>
      </c>
      <c r="M89" s="854" t="str">
        <f>IF(J89=0,"",J89)</f>
        <v>Среднесписочная численность основного производственного персонала</v>
      </c>
      <c r="N89" s="854" t="str">
        <f>IF(K89=0,"",K89)</f>
        <v/>
      </c>
      <c r="O89" s="970" t="s">
        <v>159</v>
      </c>
      <c r="P89" s="970" t="s">
        <v>158</v>
      </c>
      <c r="Q89" s="970" t="s">
        <v>158</v>
      </c>
      <c r="R89" s="970" t="s">
        <v>156</v>
      </c>
      <c r="S89" s="970"/>
      <c r="T89" s="853" t="s">
        <v>1539</v>
      </c>
      <c r="U89" s="853" t="s">
        <v>1539</v>
      </c>
      <c r="V89" s="853" t="s">
        <v>1539</v>
      </c>
      <c r="W89" s="853" t="s">
        <v>1539</v>
      </c>
      <c r="X89" s="853"/>
      <c r="Y89" s="1013"/>
      <c r="Z89" s="856"/>
      <c r="AA89" s="859"/>
      <c r="AB89" s="856"/>
      <c r="AC89" s="856"/>
      <c r="AD89" s="856"/>
    </row>
    <row customHeight="1" ht="27">
      <c r="A90" s="855"/>
      <c r="B90" s="911">
        <v>73</v>
      </c>
      <c r="C90" s="853" t="s">
        <v>1540</v>
      </c>
      <c r="D90" s="980"/>
      <c r="E90" s="853"/>
      <c r="F90" s="853"/>
      <c r="G90" s="853"/>
      <c r="H90" s="903"/>
      <c r="I90" s="1018">
        <f>INDEX(TEMPLATE_NUMBER_POINT_FHD,B90,MATCH(TEMPLATE_SPHERE,TEMPLATE_SPHERE_LIST_FOR_NOTE,0))</f>
        <v>0</v>
      </c>
      <c r="J90" s="1018">
        <f>INDEX(TEMPLATE_DATA_POINT_FHD,B90,MATCH(TEMPLATE_SPHERE,TEMPLATE_SPHERE_LIST_FOR_NOTE,0))</f>
        <v>0</v>
      </c>
      <c r="K90" s="1018">
        <f>INDEX(TEMPLATE_NOTE_POINT_FHD,B90,MATCH(TEMPLATE_SPHERE,TEMPLATE_SPHERE_LIST_FOR_NOTE,0))</f>
        <v>0</v>
      </c>
      <c r="L90" s="854" t="str">
        <f>IF(I90=0,"",I90)</f>
        <v/>
      </c>
      <c r="M90" s="854" t="str">
        <f>IF(J90=0,"",J90)</f>
        <v/>
      </c>
      <c r="N90" s="854" t="str">
        <f>IF(K90=0,"",K90)</f>
        <v/>
      </c>
      <c r="O90" s="970" t="s">
        <v>160</v>
      </c>
      <c r="P90" s="970"/>
      <c r="Q90" s="970"/>
      <c r="R90" s="970"/>
      <c r="S90" s="970"/>
      <c r="T90" s="853" t="s">
        <v>1541</v>
      </c>
      <c r="U90" s="853"/>
      <c r="V90" s="853"/>
      <c r="W90" s="853"/>
      <c r="X90" s="853"/>
      <c r="Y90" s="1013"/>
      <c r="Z90" s="856"/>
      <c r="AA90" s="859"/>
      <c r="AB90" s="856"/>
      <c r="AC90" s="856"/>
      <c r="AD90" s="856"/>
    </row>
    <row customHeight="1" ht="18">
      <c r="A91" s="855"/>
      <c r="B91" s="911">
        <v>74</v>
      </c>
      <c r="C91" s="853"/>
      <c r="D91" s="980" t="s">
        <v>1536</v>
      </c>
      <c r="E91" s="853" t="s">
        <v>1536</v>
      </c>
      <c r="F91" s="853"/>
      <c r="G91" s="853"/>
      <c r="H91" s="903"/>
      <c r="I91" s="1018">
        <f>INDEX(TEMPLATE_NUMBER_POINT_FHD,B91,MATCH(TEMPLATE_SPHERE,TEMPLATE_SPHERE_LIST_FOR_NOTE,0))</f>
        <v>0</v>
      </c>
      <c r="J91" s="1018">
        <f>INDEX(TEMPLATE_DATA_POINT_FHD,B91,MATCH(TEMPLATE_SPHERE,TEMPLATE_SPHERE_LIST_FOR_NOTE,0))</f>
        <v>0</v>
      </c>
      <c r="K91" s="1018">
        <f>INDEX(TEMPLATE_NOTE_POINT_FHD,B91,MATCH(TEMPLATE_SPHERE,TEMPLATE_SPHERE_LIST_FOR_NOTE,0))</f>
        <v>0</v>
      </c>
      <c r="L91" s="854" t="str">
        <f>IF(I91=0,"",I91)</f>
        <v/>
      </c>
      <c r="M91" s="854" t="str">
        <f>IF(J91=0,"",J91)</f>
        <v/>
      </c>
      <c r="N91" s="854" t="str">
        <f>IF(K91=0,"",K91)</f>
        <v/>
      </c>
      <c r="O91" s="970"/>
      <c r="P91" s="970" t="s">
        <v>159</v>
      </c>
      <c r="Q91" s="970" t="s">
        <v>159</v>
      </c>
      <c r="R91" s="970"/>
      <c r="S91" s="970"/>
      <c r="T91" s="853"/>
      <c r="U91" s="853" t="s">
        <v>1542</v>
      </c>
      <c r="V91" s="853" t="s">
        <v>1542</v>
      </c>
      <c r="W91" s="853"/>
      <c r="X91" s="853"/>
      <c r="Y91" s="1013"/>
      <c r="Z91" s="856"/>
      <c r="AA91" s="859"/>
      <c r="AB91" s="856"/>
      <c r="AC91" s="856"/>
      <c r="AD91" s="856"/>
    </row>
    <row customHeight="1" ht="27">
      <c r="A92" s="855"/>
      <c r="B92" s="911">
        <v>75</v>
      </c>
      <c r="C92" s="853"/>
      <c r="D92" s="980" t="s">
        <v>1538</v>
      </c>
      <c r="E92" s="853"/>
      <c r="F92" s="853"/>
      <c r="G92" s="853"/>
      <c r="H92" s="903"/>
      <c r="I92" s="1018">
        <f>INDEX(TEMPLATE_NUMBER_POINT_FHD,B92,MATCH(TEMPLATE_SPHERE,TEMPLATE_SPHERE_LIST_FOR_NOTE,0))</f>
        <v>0</v>
      </c>
      <c r="J92" s="1018">
        <f>INDEX(TEMPLATE_DATA_POINT_FHD,B92,MATCH(TEMPLATE_SPHERE,TEMPLATE_SPHERE_LIST_FOR_NOTE,0))</f>
        <v>0</v>
      </c>
      <c r="K92" s="1018">
        <f>INDEX(TEMPLATE_NOTE_POINT_FHD,B92,MATCH(TEMPLATE_SPHERE,TEMPLATE_SPHERE_LIST_FOR_NOTE,0))</f>
        <v>0</v>
      </c>
      <c r="L92" s="854" t="str">
        <f>IF(I92=0,"",I92)</f>
        <v/>
      </c>
      <c r="M92" s="854" t="str">
        <f>IF(J92=0,"",J92)</f>
        <v/>
      </c>
      <c r="N92" s="854" t="str">
        <f>IF(K92=0,"",K92)</f>
        <v/>
      </c>
      <c r="O92" s="970"/>
      <c r="P92" s="970" t="s">
        <v>160</v>
      </c>
      <c r="Q92" s="970"/>
      <c r="R92" s="970"/>
      <c r="S92" s="970"/>
      <c r="T92" s="853"/>
      <c r="U92" s="853" t="s">
        <v>1543</v>
      </c>
      <c r="V92" s="853"/>
      <c r="W92" s="853"/>
      <c r="X92" s="853"/>
      <c r="Y92" s="1013"/>
      <c r="Z92" s="856"/>
      <c r="AA92" s="859" t="s">
        <v>1544</v>
      </c>
      <c r="AB92" s="856"/>
      <c r="AC92" s="856"/>
      <c r="AD92" s="856"/>
    </row>
    <row customHeight="1" ht="27">
      <c r="A93" s="855"/>
      <c r="B93" s="911">
        <v>76</v>
      </c>
      <c r="C93" s="853"/>
      <c r="D93" s="980"/>
      <c r="E93" s="853"/>
      <c r="F93" s="853"/>
      <c r="G93" s="853"/>
      <c r="H93" s="903"/>
      <c r="I93" s="1018">
        <f>INDEX(TEMPLATE_NUMBER_POINT_FHD,B93,MATCH(TEMPLATE_SPHERE,TEMPLATE_SPHERE_LIST_FOR_NOTE,0))</f>
        <v>0</v>
      </c>
      <c r="J93" s="1018">
        <f>INDEX(TEMPLATE_DATA_POINT_FHD,B93,MATCH(TEMPLATE_SPHERE,TEMPLATE_SPHERE_LIST_FOR_NOTE,0))</f>
        <v>0</v>
      </c>
      <c r="K93" s="1018">
        <f>INDEX(TEMPLATE_NOTE_POINT_FHD,B93,MATCH(TEMPLATE_SPHERE,TEMPLATE_SPHERE_LIST_FOR_NOTE,0))</f>
        <v>0</v>
      </c>
      <c r="L93" s="854" t="str">
        <f>IF(I93=0,"",I93)</f>
        <v/>
      </c>
      <c r="M93" s="854" t="str">
        <f>IF(J93=0,"",J93)</f>
        <v/>
      </c>
      <c r="N93" s="854" t="str">
        <f>IF(K93=0,"",K93)</f>
        <v/>
      </c>
      <c r="O93" s="970"/>
      <c r="P93" s="970" t="s">
        <v>1432</v>
      </c>
      <c r="Q93" s="970"/>
      <c r="R93" s="970"/>
      <c r="S93" s="970"/>
      <c r="T93" s="853"/>
      <c r="U93" s="853" t="s">
        <v>1545</v>
      </c>
      <c r="V93" s="853"/>
      <c r="W93" s="853"/>
      <c r="X93" s="853"/>
      <c r="Y93" s="1013"/>
      <c r="Z93" s="856"/>
      <c r="AA93" s="859" t="s">
        <v>1546</v>
      </c>
      <c r="AB93" s="856"/>
      <c r="AC93" s="856"/>
      <c r="AD93" s="856"/>
    </row>
    <row customHeight="1" ht="45">
      <c r="A94" s="855"/>
      <c r="B94" s="911">
        <v>77</v>
      </c>
      <c r="C94" s="853"/>
      <c r="D94" s="980" t="s">
        <v>1540</v>
      </c>
      <c r="E94" s="853"/>
      <c r="F94" s="853"/>
      <c r="G94" s="853"/>
      <c r="H94" s="903"/>
      <c r="I94" s="1018">
        <f>INDEX(TEMPLATE_NUMBER_POINT_FHD,B94,MATCH(TEMPLATE_SPHERE,TEMPLATE_SPHERE_LIST_FOR_NOTE,0))</f>
        <v>0</v>
      </c>
      <c r="J94" s="1018">
        <f>INDEX(TEMPLATE_DATA_POINT_FHD,B94,MATCH(TEMPLATE_SPHERE,TEMPLATE_SPHERE_LIST_FOR_NOTE,0))</f>
        <v>0</v>
      </c>
      <c r="K94" s="1018">
        <f>INDEX(TEMPLATE_NOTE_POINT_FHD,B94,MATCH(TEMPLATE_SPHERE,TEMPLATE_SPHERE_LIST_FOR_NOTE,0))</f>
        <v>0</v>
      </c>
      <c r="L94" s="854" t="str">
        <f>IF(I94=0,"",I94)</f>
        <v/>
      </c>
      <c r="M94" s="854" t="str">
        <f>IF(J94=0,"",J94)</f>
        <v/>
      </c>
      <c r="N94" s="854" t="str">
        <f>IF(K94=0,"",K94)</f>
        <v/>
      </c>
      <c r="O94" s="970"/>
      <c r="P94" s="970" t="s">
        <v>858</v>
      </c>
      <c r="Q94" s="970"/>
      <c r="R94" s="970"/>
      <c r="S94" s="970"/>
      <c r="T94" s="853"/>
      <c r="U94" s="853" t="s">
        <v>1547</v>
      </c>
      <c r="V94" s="853"/>
      <c r="W94" s="853"/>
      <c r="X94" s="853"/>
      <c r="Y94" s="1013"/>
      <c r="Z94" s="856"/>
      <c r="AA94" s="859" t="s">
        <v>1548</v>
      </c>
      <c r="AB94" s="856"/>
      <c r="AC94" s="856"/>
      <c r="AD94" s="856"/>
    </row>
    <row customHeight="1" ht="99">
      <c r="A95" s="855"/>
      <c r="B95" s="911">
        <v>78</v>
      </c>
      <c r="C95" s="853" t="s">
        <v>1549</v>
      </c>
      <c r="D95" s="980"/>
      <c r="E95" s="853"/>
      <c r="F95" s="853"/>
      <c r="G95" s="853"/>
      <c r="H95" s="903"/>
      <c r="I95" s="1018">
        <f>INDEX(TEMPLATE_NUMBER_POINT_FHD,B95,MATCH(TEMPLATE_SPHERE,TEMPLATE_SPHERE_LIST_FOR_NOTE,0))</f>
        <v>0</v>
      </c>
      <c r="J95" s="1018">
        <f>INDEX(TEMPLATE_DATA_POINT_FHD,B95,MATCH(TEMPLATE_SPHERE,TEMPLATE_SPHERE_LIST_FOR_NOTE,0))</f>
        <v>0</v>
      </c>
      <c r="K95" s="1018">
        <f>INDEX(TEMPLATE_NOTE_POINT_FHD,B95,MATCH(TEMPLATE_SPHERE,TEMPLATE_SPHERE_LIST_FOR_NOTE,0))</f>
        <v>0</v>
      </c>
      <c r="L95" s="854" t="str">
        <f>IF(I95=0,"",I95)</f>
        <v/>
      </c>
      <c r="M95" s="854" t="str">
        <f>IF(J95=0,"",J95)</f>
        <v/>
      </c>
      <c r="N95" s="854" t="str">
        <f>IF(K95=0,"",K95)</f>
        <v/>
      </c>
      <c r="O95" s="970" t="s">
        <v>858</v>
      </c>
      <c r="P95" s="970"/>
      <c r="Q95" s="970"/>
      <c r="R95" s="970"/>
      <c r="S95" s="970"/>
      <c r="T95" s="853" t="s">
        <v>1550</v>
      </c>
      <c r="U95" s="853"/>
      <c r="V95" s="853"/>
      <c r="W95" s="853"/>
      <c r="X95" s="853"/>
      <c r="Y95" s="1013"/>
      <c r="Z95" s="856"/>
      <c r="AA95" s="859"/>
      <c r="AB95" s="856"/>
      <c r="AC95" s="856"/>
      <c r="AD95" s="856"/>
    </row>
    <row customHeight="1" ht="99">
      <c r="A96" s="855"/>
      <c r="B96" s="911">
        <v>79</v>
      </c>
      <c r="C96" s="853" t="s">
        <v>1551</v>
      </c>
      <c r="D96" s="980"/>
      <c r="E96" s="853"/>
      <c r="F96" s="853"/>
      <c r="G96" s="853"/>
      <c r="H96" s="903"/>
      <c r="I96" s="1018">
        <f>INDEX(TEMPLATE_NUMBER_POINT_FHD,B96,MATCH(TEMPLATE_SPHERE,TEMPLATE_SPHERE_LIST_FOR_NOTE,0))</f>
        <v>0</v>
      </c>
      <c r="J96" s="1018">
        <f>INDEX(TEMPLATE_DATA_POINT_FHD,B96,MATCH(TEMPLATE_SPHERE,TEMPLATE_SPHERE_LIST_FOR_NOTE,0))</f>
        <v>0</v>
      </c>
      <c r="K96" s="1018">
        <f>INDEX(TEMPLATE_NOTE_POINT_FHD,B96,MATCH(TEMPLATE_SPHERE,TEMPLATE_SPHERE_LIST_FOR_NOTE,0))</f>
        <v>0</v>
      </c>
      <c r="L96" s="854" t="str">
        <f>IF(I96=0,"",I96)</f>
        <v/>
      </c>
      <c r="M96" s="854" t="str">
        <f>IF(J96=0,"",J96)</f>
        <v/>
      </c>
      <c r="N96" s="854" t="str">
        <f>IF(K96=0,"",K96)</f>
        <v/>
      </c>
      <c r="O96" s="970" t="s">
        <v>864</v>
      </c>
      <c r="P96" s="970"/>
      <c r="Q96" s="970"/>
      <c r="R96" s="970"/>
      <c r="S96" s="970"/>
      <c r="T96" s="853" t="s">
        <v>1552</v>
      </c>
      <c r="U96" s="853"/>
      <c r="V96" s="853"/>
      <c r="W96" s="853"/>
      <c r="X96" s="853"/>
      <c r="Y96" s="1013"/>
      <c r="Z96" s="856" t="s">
        <v>1553</v>
      </c>
      <c r="AA96" s="859"/>
      <c r="AB96" s="856"/>
      <c r="AC96" s="856"/>
      <c r="AD96" s="856"/>
    </row>
    <row customHeight="1" ht="63">
      <c r="A97" s="855"/>
      <c r="B97" s="911">
        <v>80</v>
      </c>
      <c r="C97" s="853" t="s">
        <v>1554</v>
      </c>
      <c r="D97" s="980"/>
      <c r="E97" s="853"/>
      <c r="F97" s="853"/>
      <c r="G97" s="853"/>
      <c r="H97" s="903"/>
      <c r="I97" s="1018">
        <f>INDEX(TEMPLATE_NUMBER_POINT_FHD,B97,MATCH(TEMPLATE_SPHERE,TEMPLATE_SPHERE_LIST_FOR_NOTE,0))</f>
        <v>0</v>
      </c>
      <c r="J97" s="1018">
        <f>INDEX(TEMPLATE_DATA_POINT_FHD,B97,MATCH(TEMPLATE_SPHERE,TEMPLATE_SPHERE_LIST_FOR_NOTE,0))</f>
        <v>0</v>
      </c>
      <c r="K97" s="1018">
        <f>INDEX(TEMPLATE_NOTE_POINT_FHD,B97,MATCH(TEMPLATE_SPHERE,TEMPLATE_SPHERE_LIST_FOR_NOTE,0))</f>
        <v>0</v>
      </c>
      <c r="L97" s="854" t="str">
        <f>IF(I97=0,"",I97)</f>
        <v/>
      </c>
      <c r="M97" s="854" t="str">
        <f>IF(J97=0,"",J97)</f>
        <v/>
      </c>
      <c r="N97" s="854" t="str">
        <f>IF(K97=0,"",K97)</f>
        <v/>
      </c>
      <c r="O97" s="970" t="s">
        <v>875</v>
      </c>
      <c r="P97" s="970"/>
      <c r="Q97" s="970"/>
      <c r="R97" s="970"/>
      <c r="S97" s="970"/>
      <c r="T97" s="853" t="s">
        <v>1555</v>
      </c>
      <c r="U97" s="853"/>
      <c r="V97" s="853"/>
      <c r="W97" s="853"/>
      <c r="X97" s="853"/>
      <c r="Y97" s="1013"/>
      <c r="Z97" s="856" t="s">
        <v>1556</v>
      </c>
      <c r="AA97" s="859"/>
      <c r="AB97" s="856"/>
      <c r="AC97" s="856"/>
      <c r="AD97" s="856"/>
    </row>
    <row customHeight="1" ht="63">
      <c r="A98" s="855"/>
      <c r="B98" s="911">
        <v>81</v>
      </c>
      <c r="C98" s="853" t="s">
        <v>1557</v>
      </c>
      <c r="D98" s="980"/>
      <c r="E98" s="853"/>
      <c r="F98" s="853"/>
      <c r="G98" s="853"/>
      <c r="H98" s="903"/>
      <c r="I98" s="1018">
        <f>INDEX(TEMPLATE_NUMBER_POINT_FHD,B98,MATCH(TEMPLATE_SPHERE,TEMPLATE_SPHERE_LIST_FOR_NOTE,0))</f>
        <v>0</v>
      </c>
      <c r="J98" s="1018">
        <f>INDEX(TEMPLATE_DATA_POINT_FHD,B98,MATCH(TEMPLATE_SPHERE,TEMPLATE_SPHERE_LIST_FOR_NOTE,0))</f>
        <v>0</v>
      </c>
      <c r="K98" s="1018">
        <f>INDEX(TEMPLATE_NOTE_POINT_FHD,B98,MATCH(TEMPLATE_SPHERE,TEMPLATE_SPHERE_LIST_FOR_NOTE,0))</f>
        <v>0</v>
      </c>
      <c r="L98" s="854" t="str">
        <f>IF(I98=0,"",I98)</f>
        <v/>
      </c>
      <c r="M98" s="854" t="str">
        <f>IF(J98=0,"",J98)</f>
        <v/>
      </c>
      <c r="N98" s="854" t="str">
        <f>IF(K98=0,"",K98)</f>
        <v/>
      </c>
      <c r="O98" s="970" t="s">
        <v>889</v>
      </c>
      <c r="P98" s="970"/>
      <c r="Q98" s="970"/>
      <c r="R98" s="970"/>
      <c r="S98" s="970"/>
      <c r="T98" s="853" t="s">
        <v>1558</v>
      </c>
      <c r="U98" s="853"/>
      <c r="V98" s="853"/>
      <c r="W98" s="853"/>
      <c r="X98" s="853"/>
      <c r="Y98" s="1013"/>
      <c r="Z98" s="856" t="s">
        <v>1556</v>
      </c>
      <c r="AA98" s="859"/>
      <c r="AB98" s="856"/>
      <c r="AC98" s="856"/>
      <c r="AD98" s="856"/>
    </row>
    <row customHeight="1" ht="90">
      <c r="A99" s="855"/>
      <c r="B99" s="911">
        <v>82</v>
      </c>
      <c r="C99" s="853" t="s">
        <v>1559</v>
      </c>
      <c r="D99" s="980"/>
      <c r="E99" s="853"/>
      <c r="F99" s="853"/>
      <c r="G99" s="853"/>
      <c r="H99" s="903"/>
      <c r="I99" s="1018">
        <f>INDEX(TEMPLATE_NUMBER_POINT_FHD,B99,MATCH(TEMPLATE_SPHERE,TEMPLATE_SPHERE_LIST_FOR_NOTE,0))</f>
        <v>0</v>
      </c>
      <c r="J99" s="1018">
        <f>INDEX(TEMPLATE_DATA_POINT_FHD,B99,MATCH(TEMPLATE_SPHERE,TEMPLATE_SPHERE_LIST_FOR_NOTE,0))</f>
        <v>0</v>
      </c>
      <c r="K99" s="1018">
        <f>INDEX(TEMPLATE_NOTE_POINT_FHD,B99,MATCH(TEMPLATE_SPHERE,TEMPLATE_SPHERE_LIST_FOR_NOTE,0))</f>
        <v>0</v>
      </c>
      <c r="L99" s="854" t="str">
        <f>IF(I99=0,"",I99)</f>
        <v/>
      </c>
      <c r="M99" s="854" t="str">
        <f>IF(J99=0,"",J99)</f>
        <v/>
      </c>
      <c r="N99" s="854" t="str">
        <f>IF(K99=0,"",K99)</f>
        <v/>
      </c>
      <c r="O99" s="970" t="s">
        <v>901</v>
      </c>
      <c r="P99" s="970"/>
      <c r="Q99" s="970"/>
      <c r="R99" s="970"/>
      <c r="S99" s="970"/>
      <c r="T99" s="853" t="s">
        <v>1560</v>
      </c>
      <c r="U99" s="853"/>
      <c r="V99" s="853"/>
      <c r="W99" s="853"/>
      <c r="X99" s="853"/>
      <c r="Y99" s="1013"/>
      <c r="Z99" s="856" t="s">
        <v>1561</v>
      </c>
      <c r="AA99" s="859"/>
      <c r="AB99" s="856"/>
      <c r="AC99" s="856"/>
      <c r="AD99" s="856"/>
    </row>
    <row customHeight="1" ht="27">
      <c r="A100" s="855"/>
      <c r="B100" s="911">
        <v>83</v>
      </c>
      <c r="C100" s="853"/>
      <c r="D100" s="980"/>
      <c r="E100" s="853"/>
      <c r="F100" s="853"/>
      <c r="G100" s="853"/>
      <c r="H100" s="903"/>
      <c r="I100" s="1018">
        <f>INDEX(TEMPLATE_NUMBER_POINT_FHD,B100,MATCH(TEMPLATE_SPHERE,TEMPLATE_SPHERE_LIST_FOR_NOTE,0))</f>
        <v>0</v>
      </c>
      <c r="J100" s="1018">
        <f>INDEX(TEMPLATE_DATA_POINT_FHD,B100,MATCH(TEMPLATE_SPHERE,TEMPLATE_SPHERE_LIST_FOR_NOTE,0))</f>
        <v>0</v>
      </c>
      <c r="K100" s="1018">
        <f>INDEX(TEMPLATE_NOTE_POINT_FHD,B100,MATCH(TEMPLATE_SPHERE,TEMPLATE_SPHERE_LIST_FOR_NOTE,0))</f>
        <v>0</v>
      </c>
      <c r="L100" s="854" t="str">
        <f>IF(I100=0,"",I100)</f>
        <v/>
      </c>
      <c r="M100" s="854" t="str">
        <f>IF(J100=0,"",J100)</f>
        <v/>
      </c>
      <c r="N100" s="854" t="str">
        <f>IF(K100=0,"",K100)</f>
        <v/>
      </c>
      <c r="O100" s="970" t="s">
        <v>1562</v>
      </c>
      <c r="P100" s="970"/>
      <c r="Q100" s="970"/>
      <c r="R100" s="970"/>
      <c r="S100" s="970"/>
      <c r="T100" s="853" t="s">
        <v>1563</v>
      </c>
      <c r="U100" s="853"/>
      <c r="V100" s="853"/>
      <c r="W100" s="853"/>
      <c r="X100" s="853"/>
      <c r="Y100" s="1013"/>
      <c r="Z100" s="856" t="s">
        <v>1561</v>
      </c>
      <c r="AA100" s="859"/>
      <c r="AB100" s="856"/>
      <c r="AC100" s="856"/>
      <c r="AD100" s="856"/>
    </row>
    <row customHeight="1" ht="27">
      <c r="A101" s="855"/>
      <c r="B101" s="911">
        <v>84</v>
      </c>
      <c r="C101" s="853"/>
      <c r="D101" s="980"/>
      <c r="E101" s="853"/>
      <c r="F101" s="853"/>
      <c r="G101" s="853"/>
      <c r="H101" s="903"/>
      <c r="I101" s="1018">
        <f>INDEX(TEMPLATE_NUMBER_POINT_FHD,B101,MATCH(TEMPLATE_SPHERE,TEMPLATE_SPHERE_LIST_FOR_NOTE,0))</f>
        <v>0</v>
      </c>
      <c r="J101" s="1018">
        <f>INDEX(TEMPLATE_DATA_POINT_FHD,B101,MATCH(TEMPLATE_SPHERE,TEMPLATE_SPHERE_LIST_FOR_NOTE,0))</f>
        <v>0</v>
      </c>
      <c r="K101" s="1018">
        <f>INDEX(TEMPLATE_NOTE_POINT_FHD,B101,MATCH(TEMPLATE_SPHERE,TEMPLATE_SPHERE_LIST_FOR_NOTE,0))</f>
        <v>0</v>
      </c>
      <c r="L101" s="854" t="str">
        <f>IF(I101=0,"",I101)</f>
        <v/>
      </c>
      <c r="M101" s="854" t="str">
        <f>IF(J101=0,"",J101)</f>
        <v/>
      </c>
      <c r="N101" s="854" t="str">
        <f>IF(K101=0,"",K101)</f>
        <v/>
      </c>
      <c r="O101" s="970" t="s">
        <v>1564</v>
      </c>
      <c r="P101" s="970"/>
      <c r="Q101" s="970"/>
      <c r="R101" s="970"/>
      <c r="S101" s="970"/>
      <c r="T101" s="853" t="s">
        <v>1565</v>
      </c>
      <c r="U101" s="853"/>
      <c r="V101" s="853"/>
      <c r="W101" s="853"/>
      <c r="X101" s="853"/>
      <c r="Y101" s="1013"/>
      <c r="Z101" s="856" t="s">
        <v>1561</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1066</v>
      </c>
      <c r="B148" s="855"/>
      <c r="C148" s="853" t="s">
        <v>1566</v>
      </c>
      <c r="D148" s="853" t="s">
        <v>957</v>
      </c>
      <c r="E148" s="853" t="s">
        <v>1068</v>
      </c>
      <c r="F148" s="853" t="s">
        <v>1567</v>
      </c>
      <c r="G148" s="853"/>
      <c r="H148" s="853"/>
      <c r="I148" s="976"/>
      <c r="J148" s="976"/>
      <c r="K148" s="976"/>
      <c r="L148" s="976"/>
      <c r="M148" s="9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8"/>
      <c r="O148" s="853"/>
      <c r="P148" s="854"/>
      <c r="Q148" s="854"/>
      <c r="R148" s="854"/>
      <c r="S148" s="853"/>
      <c r="T148" s="853" t="s">
        <v>1568</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54"/>
      <c r="W148" s="854"/>
      <c r="X148" s="853" t="s">
        <v>1569</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1072</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1077</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1082</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08F47-C756-2C26-C17E-AFCFB78CC6AA}"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159" width="10.57421875" hidden="1"/>
    <col min="2" max="2" style="3159" width="11.00390625" hidden="1" customWidth="1"/>
    <col min="3" max="3" style="3159" width="10.57421875" hidden="1"/>
    <col min="4" max="4" style="3159" width="11.8515625" hidden="1" customWidth="1"/>
    <col min="5" max="5" style="3159" width="12.28125" hidden="1" customWidth="1"/>
    <col min="6" max="8" style="3619" width="12.28125" hidden="1" customWidth="1"/>
    <col min="9" max="9" style="4024" width="3.7109375" customWidth="1"/>
    <col min="10" max="11" style="3694" width="3.7109375" customWidth="1"/>
    <col min="12" max="12" style="3695" width="12.7109375" customWidth="1"/>
    <col min="13" max="13" style="2876" width="32.00390625" customWidth="1"/>
    <col min="14" max="14" style="2876" width="1.7109375" customWidth="1"/>
    <col min="15" max="18" style="2876" width="24.7109375" customWidth="1"/>
    <col min="19" max="19" style="2876" width="11.7109375" customWidth="1"/>
    <col min="20" max="20" style="2876" width="3.7109375" customWidth="1"/>
    <col min="21" max="21" style="2876" width="11.7109375" customWidth="1"/>
    <col min="22" max="22" style="2876" width="8.57421875" customWidth="1"/>
    <col min="23" max="23" style="2876" width="4.7109375" customWidth="1"/>
    <col min="24" max="24" style="2876"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1570</v>
      </c>
      <c r="M5" s="2284"/>
      <c r="N5" s="2284"/>
      <c r="O5" s="2284"/>
      <c r="P5" s="2284"/>
      <c r="Q5" s="2284"/>
      <c r="R5" s="2284"/>
      <c r="S5" s="2284"/>
      <c r="T5" s="2284"/>
      <c r="U5" s="2284"/>
      <c r="V5" s="1267"/>
    </row>
    <row customHeight="1" ht="14.25">
      <c r="J6" s="377"/>
      <c r="K6" s="377"/>
      <c r="L6" s="2285" t="str">
        <f>IF(org=0,"Не определено",org)</f>
        <v>МУП "Уссурийск-Водоканал"</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28" customFormat="1" customHeight="1" ht="45">
      <c r="A8" s="1404"/>
      <c r="B8" s="1404"/>
      <c r="C8" s="1404"/>
      <c r="D8" s="1404"/>
      <c r="E8" s="1404"/>
      <c r="F8" s="1404"/>
      <c r="G8" s="1404"/>
      <c r="H8" s="1404"/>
      <c r="L8" s="1312"/>
      <c r="M8" s="283" t="s">
        <v>39</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28" customFormat="1" customHeight="1" ht="22.5">
      <c r="A9" s="1404"/>
      <c r="B9" s="1404"/>
      <c r="C9" s="1404"/>
      <c r="D9" s="1404"/>
      <c r="E9" s="1404"/>
      <c r="F9" s="1404"/>
      <c r="G9" s="1404"/>
      <c r="H9" s="1404"/>
      <c r="L9" s="1312"/>
      <c r="M9" s="283" t="s">
        <v>485</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28" customFormat="1" customHeight="1" ht="22.5">
      <c r="A10" s="1404"/>
      <c r="B10" s="1404"/>
      <c r="C10" s="1404"/>
      <c r="D10" s="1404"/>
      <c r="E10" s="1404"/>
      <c r="F10" s="1404"/>
      <c r="G10" s="1404"/>
      <c r="H10" s="1404"/>
      <c r="L10" s="1275"/>
      <c r="M10" s="283" t="s">
        <v>486</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28" customFormat="1" customHeight="1" ht="22.5">
      <c r="A11" s="1404"/>
      <c r="B11" s="1404"/>
      <c r="C11" s="1404"/>
      <c r="D11" s="1404"/>
      <c r="E11" s="1404"/>
      <c r="F11" s="1404"/>
      <c r="G11" s="1404"/>
      <c r="H11" s="1404"/>
      <c r="L11" s="1275"/>
      <c r="M11" s="283" t="s">
        <v>40</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28"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489</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293</v>
      </c>
      <c r="M14" s="1966"/>
      <c r="N14" s="1966"/>
      <c r="O14" s="1966"/>
      <c r="P14" s="1966"/>
      <c r="Q14" s="1966"/>
      <c r="R14" s="1966"/>
      <c r="S14" s="1966"/>
      <c r="T14" s="1966"/>
      <c r="U14" s="1966"/>
      <c r="V14" s="1966"/>
      <c r="W14" s="1966"/>
      <c r="X14" s="1966" t="s">
        <v>294</v>
      </c>
    </row>
    <row customHeight="1" ht="14.25">
      <c r="J15" s="377"/>
      <c r="K15" s="377"/>
      <c r="L15" s="2206" t="s">
        <v>88</v>
      </c>
      <c r="M15" s="2047" t="s">
        <v>490</v>
      </c>
      <c r="N15" s="289"/>
      <c r="O15" s="2207" t="s">
        <v>1571</v>
      </c>
      <c r="P15" s="2208"/>
      <c r="Q15" s="2208"/>
      <c r="R15" s="2208"/>
      <c r="S15" s="2208"/>
      <c r="T15" s="2208"/>
      <c r="U15" s="2209"/>
      <c r="V15" s="2210" t="s">
        <v>492</v>
      </c>
      <c r="W15" s="2213" t="s">
        <v>1572</v>
      </c>
      <c r="X15" s="1966"/>
    </row>
    <row customHeight="1" ht="33.75">
      <c r="J16" s="377"/>
      <c r="K16" s="377"/>
      <c r="L16" s="2206"/>
      <c r="M16" s="2047"/>
      <c r="N16" s="1044"/>
      <c r="O16" s="2193" t="s">
        <v>495</v>
      </c>
      <c r="P16" s="2193" t="s">
        <v>496</v>
      </c>
      <c r="Q16" s="2195" t="s">
        <v>497</v>
      </c>
      <c r="R16" s="2196"/>
      <c r="S16" s="2195" t="s">
        <v>516</v>
      </c>
      <c r="T16" s="2202"/>
      <c r="U16" s="2196"/>
      <c r="V16" s="2211"/>
      <c r="W16" s="2214"/>
      <c r="X16" s="1966"/>
    </row>
    <row customHeight="1" ht="33.75">
      <c r="A17" s="1406" t="s">
        <v>141</v>
      </c>
      <c r="B17" s="1406" t="s">
        <v>142</v>
      </c>
      <c r="C17" s="1406" t="s">
        <v>143</v>
      </c>
      <c r="D17" s="1406" t="s">
        <v>144</v>
      </c>
      <c r="E17" s="1406"/>
      <c r="J17" s="377"/>
      <c r="K17" s="377"/>
      <c r="L17" s="2206"/>
      <c r="M17" s="2047"/>
      <c r="N17" s="290"/>
      <c r="O17" s="2194"/>
      <c r="P17" s="2194"/>
      <c r="Q17" s="1243" t="s">
        <v>506</v>
      </c>
      <c r="R17" s="1243" t="s">
        <v>507</v>
      </c>
      <c r="S17" s="1328" t="s">
        <v>508</v>
      </c>
      <c r="T17" s="2203" t="s">
        <v>509</v>
      </c>
      <c r="U17" s="2204"/>
      <c r="V17" s="2212"/>
      <c r="W17" s="2215"/>
      <c r="X17" s="1966"/>
    </row>
    <row s="2586" customFormat="1" customHeight="1" ht="11.25">
      <c r="A18" s="1406"/>
      <c r="B18" s="1406"/>
      <c r="C18" s="1406"/>
      <c r="D18" s="1406"/>
      <c r="E18" s="1406"/>
      <c r="F18" s="1398"/>
      <c r="G18" s="1398"/>
      <c r="H18" s="1398"/>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175</v>
      </c>
      <c r="B19" s="1399" t="s">
        <v>176</v>
      </c>
      <c r="C19" s="1399" t="s">
        <v>177</v>
      </c>
      <c r="D19" s="1399" t="s">
        <v>178</v>
      </c>
      <c r="E19" s="1399"/>
      <c r="F19" s="1401"/>
      <c r="G19" s="1401"/>
      <c r="H19" s="1401"/>
      <c r="I19" s="357"/>
      <c r="J19" s="356"/>
      <c r="K19" s="351"/>
      <c r="L19" s="1329">
        <f>INDEX(PT_DIFFERENTIATION_NUM_NTAR,MATCH(A19,PT_DIFFERENTIATION_NTAR_ID,0))</f>
        <v>0</v>
      </c>
      <c r="M19" s="286" t="s">
        <v>130</v>
      </c>
      <c r="N19" s="288"/>
      <c r="O19" s="2287" t="str">
        <f>INDEX(PT_DIFFERENTIATION_NTAR,MATCH(A19,PT_DIFFERENTIATION_NTAR_ID,0))</f>
        <v/>
      </c>
      <c r="P19" s="2287"/>
      <c r="Q19" s="2287"/>
      <c r="R19" s="2287"/>
      <c r="S19" s="2287"/>
      <c r="T19" s="2287"/>
      <c r="U19" s="2287"/>
      <c r="V19" s="2287"/>
      <c r="W19" s="2287"/>
      <c r="X19" s="1292" t="s">
        <v>461</v>
      </c>
      <c r="Z19" s="508"/>
      <c r="AA19" s="508" t="str">
        <f>IF(M19="","",M19)</f>
        <v>Наименование тарифа</v>
      </c>
      <c r="AB19" s="508"/>
      <c r="AC19" s="508"/>
    </row>
    <row customHeight="1" ht="21">
      <c r="A20" s="1399" t="s">
        <v>175</v>
      </c>
      <c r="B20" s="1399" t="s">
        <v>176</v>
      </c>
      <c r="C20" s="1399" t="s">
        <v>177</v>
      </c>
      <c r="D20" s="1399" t="s">
        <v>178</v>
      </c>
      <c r="E20" s="1399"/>
      <c r="F20" s="1401"/>
      <c r="G20" s="1401"/>
      <c r="H20" s="1401"/>
      <c r="I20" s="1326"/>
      <c r="J20" s="348"/>
      <c r="K20" s="349"/>
      <c r="L20" s="1329" t="str">
        <f>INDEX(PT_DIFFERENTIATION_NUM_TER,MATCH(B19,PT_DIFFERENTIATION_TER_ID,0))</f>
        <v>.</v>
      </c>
      <c r="M20" s="298" t="s">
        <v>462</v>
      </c>
      <c r="N20" s="288"/>
      <c r="O20" s="2287" t="str">
        <f>INDEX(PT_DIFFERENTIATION_TER,MATCH(B19,PT_DIFFERENTIATION_TER_ID,0))</f>
        <v/>
      </c>
      <c r="P20" s="2287"/>
      <c r="Q20" s="2287"/>
      <c r="R20" s="2287"/>
      <c r="S20" s="2287"/>
      <c r="T20" s="2287"/>
      <c r="U20" s="2287"/>
      <c r="V20" s="2287"/>
      <c r="W20" s="2287"/>
      <c r="X20" s="1292" t="s">
        <v>463</v>
      </c>
      <c r="Z20" s="508"/>
      <c r="AA20" s="508" t="str">
        <f>IF(M20="","",M20)</f>
        <v>Территория действия тарифа</v>
      </c>
      <c r="AB20" s="508"/>
      <c r="AC20" s="508"/>
    </row>
    <row customHeight="1" ht="22.5">
      <c r="A21" s="1399" t="s">
        <v>175</v>
      </c>
      <c r="B21" s="1399" t="s">
        <v>176</v>
      </c>
      <c r="C21" s="1399" t="s">
        <v>177</v>
      </c>
      <c r="D21" s="1399" t="s">
        <v>178</v>
      </c>
      <c r="E21" s="1399"/>
      <c r="F21" s="1401"/>
      <c r="G21" s="1401"/>
      <c r="H21" s="1401"/>
      <c r="I21" s="350"/>
      <c r="J21" s="348"/>
      <c r="K21" s="349"/>
      <c r="L21" s="1329" t="str">
        <f>INDEX(PT_DIFFERENTIATION_NUM_CS,MATCH(C19,PT_DIFFERENTIATION_CS_ID,0))</f>
        <v>..</v>
      </c>
      <c r="M21" s="299" t="s">
        <v>464</v>
      </c>
      <c r="N21" s="288"/>
      <c r="O21" s="2287" t="str">
        <f>INDEX(PT_DIFFERENTIATION_CS,MATCH(C19,PT_DIFFERENTIATION_CS_ID,0))</f>
        <v/>
      </c>
      <c r="P21" s="2287"/>
      <c r="Q21" s="2287"/>
      <c r="R21" s="2287"/>
      <c r="S21" s="2287"/>
      <c r="T21" s="2287"/>
      <c r="U21" s="2287"/>
      <c r="V21" s="2287"/>
      <c r="W21" s="2287"/>
      <c r="X21" s="1292" t="s">
        <v>465</v>
      </c>
      <c r="Z21" s="508"/>
      <c r="AA21" s="508" t="str">
        <f>IF(M21="","",M21)</f>
        <v>Наименование системы теплоснабжения </v>
      </c>
      <c r="AB21" s="508"/>
      <c r="AC21" s="508"/>
    </row>
    <row customHeight="1" ht="21">
      <c r="A22" s="1399" t="s">
        <v>175</v>
      </c>
      <c r="B22" s="1399" t="s">
        <v>176</v>
      </c>
      <c r="C22" s="1399" t="s">
        <v>177</v>
      </c>
      <c r="D22" s="1399" t="s">
        <v>178</v>
      </c>
      <c r="E22" s="1399"/>
      <c r="F22" s="1401"/>
      <c r="G22" s="1401"/>
      <c r="H22" s="1401"/>
      <c r="I22" s="350"/>
      <c r="J22" s="348"/>
      <c r="K22" s="349"/>
      <c r="L22" s="1329" t="str">
        <f>INDEX(PT_DIFFERENTIATION_NUM_IST_TE,MATCH(D19,PT_DIFFERENTIATION_IST_TE_ID,0))</f>
        <v>...</v>
      </c>
      <c r="M22" s="300" t="s">
        <v>466</v>
      </c>
      <c r="N22" s="288"/>
      <c r="O22" s="2287" t="str">
        <f>INDEX(PT_DIFFERENTIATION_IST_TE,MATCH(D19,PT_DIFFERENTIATION_IST_TE_ID,0))</f>
        <v/>
      </c>
      <c r="P22" s="2287"/>
      <c r="Q22" s="2287"/>
      <c r="R22" s="2287"/>
      <c r="S22" s="2287"/>
      <c r="T22" s="2287"/>
      <c r="U22" s="2287"/>
      <c r="V22" s="2287"/>
      <c r="W22" s="2287"/>
      <c r="X22" s="1292" t="s">
        <v>467</v>
      </c>
      <c r="Z22" s="508"/>
      <c r="AA22" s="508" t="str">
        <f>IF(M22="","",M22)</f>
        <v>Источник тепловой энергии  </v>
      </c>
      <c r="AB22" s="508"/>
      <c r="AC22" s="508"/>
    </row>
    <row customHeight="1" ht="94.5">
      <c r="A23" s="1399" t="s">
        <v>175</v>
      </c>
      <c r="B23" s="1399" t="s">
        <v>176</v>
      </c>
      <c r="C23" s="1399" t="s">
        <v>177</v>
      </c>
      <c r="D23" s="1399" t="s">
        <v>178</v>
      </c>
      <c r="E23" s="1399"/>
      <c r="F23" s="2288" t="str">
        <f>L22&amp;".1"</f>
        <v>....1</v>
      </c>
      <c r="I23" s="2190">
        <v>1</v>
      </c>
      <c r="J23" s="1327"/>
      <c r="K23" s="352"/>
      <c r="L23" s="1329" t="str">
        <f>$F$23</f>
        <v>....1</v>
      </c>
      <c r="M23" s="273" t="s">
        <v>469</v>
      </c>
      <c r="N23" s="288"/>
      <c r="O23" s="2289"/>
      <c r="P23" s="2289"/>
      <c r="Q23" s="2289"/>
      <c r="R23" s="2289"/>
      <c r="S23" s="2289"/>
      <c r="T23" s="2289"/>
      <c r="U23" s="2289"/>
      <c r="V23" s="2289"/>
      <c r="W23" s="2289"/>
      <c r="X23" s="1292" t="s">
        <v>470</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175</v>
      </c>
      <c r="B24" s="1399" t="s">
        <v>176</v>
      </c>
      <c r="C24" s="1399" t="s">
        <v>177</v>
      </c>
      <c r="D24" s="1399" t="s">
        <v>178</v>
      </c>
      <c r="E24" s="1399"/>
      <c r="F24" s="2288"/>
      <c r="G24" s="2056" t="str">
        <f>F23&amp;".1"</f>
        <v>....1.1</v>
      </c>
      <c r="I24" s="2190"/>
      <c r="J24" s="2190">
        <v>1</v>
      </c>
      <c r="K24" s="353"/>
      <c r="L24" s="1329" t="str">
        <f>$G$24</f>
        <v>....1.1</v>
      </c>
      <c r="M24" s="274" t="s">
        <v>472</v>
      </c>
      <c r="N24" s="288"/>
      <c r="O24" s="2290"/>
      <c r="P24" s="2291"/>
      <c r="Q24" s="2291"/>
      <c r="R24" s="2291"/>
      <c r="S24" s="2291"/>
      <c r="T24" s="2291"/>
      <c r="U24" s="2291"/>
      <c r="V24" s="2291"/>
      <c r="W24" s="2292"/>
      <c r="X24" s="1292" t="s">
        <v>473</v>
      </c>
      <c r="Z24" s="508"/>
      <c r="AA24" s="508" t="str">
        <f>IF(M24="","",M24)</f>
        <v>Группа потребителей</v>
      </c>
      <c r="AB24" s="508"/>
      <c r="AC24" s="508"/>
    </row>
    <row customHeight="1" ht="11.25">
      <c r="A25" s="1399" t="s">
        <v>175</v>
      </c>
      <c r="B25" s="1399" t="s">
        <v>176</v>
      </c>
      <c r="C25" s="1399" t="s">
        <v>177</v>
      </c>
      <c r="D25" s="1399" t="s">
        <v>178</v>
      </c>
      <c r="E25" s="1399"/>
      <c r="F25" s="2288"/>
      <c r="G25" s="2056"/>
      <c r="H25" s="2056" t="str">
        <f>G24&amp;".1"</f>
        <v>....1.1.1</v>
      </c>
      <c r="I25" s="2190"/>
      <c r="J25" s="2190"/>
      <c r="K25" s="353">
        <v>1</v>
      </c>
      <c r="L25" s="1329" t="str">
        <f>$H$25</f>
        <v>....1.1.1</v>
      </c>
      <c r="M25" s="1293"/>
      <c r="N25" s="288"/>
      <c r="O25" s="760"/>
      <c r="P25" s="320"/>
      <c r="Q25" s="760"/>
      <c r="R25" s="1291"/>
      <c r="S25" s="2283"/>
      <c r="T25" s="1946" t="s">
        <v>58</v>
      </c>
      <c r="U25" s="2283"/>
      <c r="V25" s="1946" t="s">
        <v>56</v>
      </c>
      <c r="W25" s="320"/>
      <c r="X25" s="2186" t="s">
        <v>475</v>
      </c>
      <c r="Y25" s="519">
        <f>STRCHECKDATE(O26:W26)</f>
      </c>
      <c r="Z25" s="508"/>
      <c r="AA25" s="508" t="str">
        <f>IF(M25="","",M25)</f>
        <v/>
      </c>
      <c r="AB25" s="508"/>
      <c r="AC25" s="508"/>
    </row>
    <row customHeight="1" ht="11.25">
      <c r="A26" s="1399" t="s">
        <v>175</v>
      </c>
      <c r="B26" s="1399" t="s">
        <v>176</v>
      </c>
      <c r="C26" s="1399" t="s">
        <v>177</v>
      </c>
      <c r="D26" s="1399" t="s">
        <v>178</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175</v>
      </c>
      <c r="B27" s="1399" t="s">
        <v>176</v>
      </c>
      <c r="C27" s="1399" t="s">
        <v>177</v>
      </c>
      <c r="D27" s="1399" t="s">
        <v>178</v>
      </c>
      <c r="E27" s="1399"/>
      <c r="F27" s="2288"/>
      <c r="G27" s="2056"/>
      <c r="I27" s="2190"/>
      <c r="J27" s="2190"/>
      <c r="K27" s="352"/>
      <c r="L27" s="1314"/>
      <c r="M27" s="276" t="s">
        <v>476</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175</v>
      </c>
      <c r="B28" s="1399" t="s">
        <v>176</v>
      </c>
      <c r="C28" s="1399" t="s">
        <v>177</v>
      </c>
      <c r="D28" s="1399" t="s">
        <v>178</v>
      </c>
      <c r="E28" s="1399"/>
      <c r="F28" s="2288"/>
      <c r="I28" s="2190"/>
      <c r="J28" s="1327"/>
      <c r="K28" s="352"/>
      <c r="L28" s="1314"/>
      <c r="M28" s="275" t="s">
        <v>477</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175</v>
      </c>
      <c r="B29" s="1399" t="s">
        <v>176</v>
      </c>
      <c r="C29" s="1399" t="s">
        <v>177</v>
      </c>
      <c r="D29" s="1399" t="s">
        <v>178</v>
      </c>
      <c r="E29" s="1399"/>
      <c r="F29" s="1401"/>
      <c r="G29" s="1401"/>
      <c r="H29" s="545"/>
      <c r="I29" s="356"/>
      <c r="J29" s="376"/>
      <c r="K29" s="351"/>
      <c r="L29" s="1314"/>
      <c r="M29" s="364" t="s">
        <v>478</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175</v>
      </c>
      <c r="B30" s="1399" t="s">
        <v>176</v>
      </c>
      <c r="C30" s="1399" t="s">
        <v>177</v>
      </c>
      <c r="D30" s="1399"/>
      <c r="E30" s="1399" t="s">
        <v>1573</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175</v>
      </c>
      <c r="B31" s="1399" t="s">
        <v>176</v>
      </c>
      <c r="C31" s="1399"/>
      <c r="D31" s="1399"/>
      <c r="E31" s="1399" t="s">
        <v>1574</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1575</v>
      </c>
      <c r="B32" s="1399"/>
      <c r="C32" s="1399"/>
      <c r="D32" s="1399"/>
      <c r="E32" s="1399" t="s">
        <v>104</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7" customFormat="1" customHeight="1" ht="11.25">
      <c r="A33" s="1399"/>
      <c r="B33" s="1399"/>
      <c r="C33" s="1399"/>
      <c r="D33" s="1399"/>
      <c r="E33" s="1399" t="s">
        <v>438</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510</v>
      </c>
      <c r="M35" s="2218" t="s">
        <v>517</v>
      </c>
      <c r="N35" s="2218"/>
      <c r="O35" s="2218"/>
      <c r="P35" s="2218"/>
      <c r="Q35" s="2218"/>
      <c r="R35" s="2218"/>
      <c r="S35" s="2218"/>
      <c r="T35" s="2218"/>
      <c r="U35" s="2218"/>
      <c r="V35" s="2218"/>
      <c r="W35" s="2218"/>
      <c r="X35" s="2218"/>
    </row>
    <row customHeight="1" ht="104.25">
      <c r="H36" s="545"/>
      <c r="I36" s="1339"/>
      <c r="M36" s="2218" t="s">
        <v>512</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814B8-CE86-FDBD-A055-7D8CD42FF5E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76" width="11.57421875" customWidth="1"/>
    <col min="2" max="2" style="2876" width="10.7109375" customWidth="1"/>
    <col min="3" max="3" style="2876" width="10.00390625" customWidth="1"/>
    <col min="4" max="4" style="2876" width="12.8515625" customWidth="1"/>
    <col min="5" max="5" style="2876" width="12.28125" customWidth="1"/>
    <col min="6" max="8" style="4024" width="12.28125" customWidth="1"/>
    <col min="9" max="9" style="4024" width="3.7109375" customWidth="1"/>
    <col min="10" max="11" style="3694" width="3.7109375" customWidth="1"/>
    <col min="12" max="12" style="3695" width="12.7109375" customWidth="1"/>
    <col min="13" max="13" style="2876" width="32.00390625" customWidth="1"/>
    <col min="14" max="14" style="2876" width="1.7109375" customWidth="1"/>
    <col min="15" max="18" style="2876" width="24.7109375" customWidth="1"/>
    <col min="19" max="19" style="2876" width="11.7109375" customWidth="1"/>
    <col min="20" max="20" style="2876" width="3.7109375" customWidth="1"/>
    <col min="21" max="21" style="2876" width="11.7109375" customWidth="1"/>
    <col min="22" max="22" style="2876" width="8.57421875" customWidth="1"/>
    <col min="23" max="23" style="2876" width="4.7109375" customWidth="1"/>
    <col min="24" max="24" style="2876"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1570</v>
      </c>
      <c r="M5" s="2284"/>
      <c r="N5" s="2284"/>
      <c r="O5" s="2284"/>
      <c r="P5" s="2284"/>
      <c r="Q5" s="2284"/>
      <c r="R5" s="2284"/>
      <c r="S5" s="2284"/>
      <c r="T5" s="2284"/>
      <c r="U5" s="2284"/>
      <c r="V5" s="1267"/>
    </row>
    <row customHeight="1" ht="14.25">
      <c r="J6" s="377"/>
      <c r="K6" s="377"/>
      <c r="L6" s="2285" t="str">
        <f>IF(org=0,"Не определено",org)</f>
        <v>МУП "Уссурийск-Водоканал"</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28" customFormat="1" customHeight="1" ht="45">
      <c r="F8" s="1273"/>
      <c r="G8" s="1273"/>
      <c r="H8" s="1273"/>
      <c r="L8" s="1312"/>
      <c r="M8" s="283" t="s">
        <v>39</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28" customFormat="1" customHeight="1" ht="22.5">
      <c r="F9" s="1273"/>
      <c r="G9" s="1273"/>
      <c r="H9" s="1273"/>
      <c r="L9" s="1312"/>
      <c r="M9" s="283" t="s">
        <v>485</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28" customFormat="1" customHeight="1" ht="22.5">
      <c r="F10" s="1273"/>
      <c r="G10" s="1273"/>
      <c r="H10" s="1273"/>
      <c r="L10" s="1275"/>
      <c r="M10" s="283" t="s">
        <v>486</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28" customFormat="1" customHeight="1" ht="22.5">
      <c r="F11" s="1273"/>
      <c r="G11" s="1273"/>
      <c r="H11" s="1273"/>
      <c r="L11" s="1275"/>
      <c r="M11" s="283" t="s">
        <v>40</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28" customFormat="1" customHeight="1" ht="11.25" hidden="1">
      <c r="F12" s="1273"/>
      <c r="G12" s="1273"/>
      <c r="H12" s="1273"/>
      <c r="L12" s="2286"/>
      <c r="M12" s="2286"/>
      <c r="N12" s="1323"/>
      <c r="O12" s="322"/>
      <c r="P12" s="322"/>
      <c r="Q12" s="322"/>
      <c r="R12" s="322"/>
      <c r="S12" s="322"/>
      <c r="T12" s="322"/>
      <c r="U12" s="322"/>
      <c r="V12" s="266" t="s">
        <v>489</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293</v>
      </c>
      <c r="M14" s="1966"/>
      <c r="N14" s="1966"/>
      <c r="O14" s="1966"/>
      <c r="P14" s="1966"/>
      <c r="Q14" s="1966"/>
      <c r="R14" s="1966"/>
      <c r="S14" s="1966"/>
      <c r="T14" s="1966"/>
      <c r="U14" s="1966"/>
      <c r="V14" s="1966"/>
      <c r="W14" s="1966"/>
      <c r="X14" s="1966" t="s">
        <v>294</v>
      </c>
    </row>
    <row customHeight="1" ht="14.25">
      <c r="J15" s="377"/>
      <c r="K15" s="377"/>
      <c r="L15" s="2206" t="s">
        <v>88</v>
      </c>
      <c r="M15" s="2047" t="s">
        <v>490</v>
      </c>
      <c r="N15" s="289"/>
      <c r="O15" s="2207" t="s">
        <v>1571</v>
      </c>
      <c r="P15" s="2208"/>
      <c r="Q15" s="2208"/>
      <c r="R15" s="2208"/>
      <c r="S15" s="2208"/>
      <c r="T15" s="2208"/>
      <c r="U15" s="2209"/>
      <c r="V15" s="2210" t="s">
        <v>492</v>
      </c>
      <c r="W15" s="2213" t="s">
        <v>1572</v>
      </c>
      <c r="X15" s="1966"/>
    </row>
    <row customHeight="1" ht="33.75">
      <c r="J16" s="377"/>
      <c r="K16" s="377"/>
      <c r="L16" s="2206"/>
      <c r="M16" s="2047"/>
      <c r="N16" s="1044"/>
      <c r="O16" s="2193" t="s">
        <v>495</v>
      </c>
      <c r="P16" s="2193" t="s">
        <v>496</v>
      </c>
      <c r="Q16" s="2195" t="s">
        <v>497</v>
      </c>
      <c r="R16" s="2196"/>
      <c r="S16" s="2195" t="s">
        <v>516</v>
      </c>
      <c r="T16" s="2202"/>
      <c r="U16" s="2196"/>
      <c r="V16" s="2211"/>
      <c r="W16" s="2214"/>
      <c r="X16" s="1966"/>
    </row>
    <row customHeight="1" ht="33.75">
      <c r="A17" s="1294" t="s">
        <v>141</v>
      </c>
      <c r="B17" s="1294" t="s">
        <v>142</v>
      </c>
      <c r="C17" s="1294" t="s">
        <v>143</v>
      </c>
      <c r="D17" s="1294" t="s">
        <v>144</v>
      </c>
      <c r="E17" s="1294"/>
      <c r="J17" s="377"/>
      <c r="K17" s="377"/>
      <c r="L17" s="2206"/>
      <c r="M17" s="2047"/>
      <c r="N17" s="290"/>
      <c r="O17" s="2194"/>
      <c r="P17" s="2194"/>
      <c r="Q17" s="1243" t="s">
        <v>506</v>
      </c>
      <c r="R17" s="1243" t="s">
        <v>507</v>
      </c>
      <c r="S17" s="1328" t="s">
        <v>508</v>
      </c>
      <c r="T17" s="2203" t="s">
        <v>509</v>
      </c>
      <c r="U17" s="2204"/>
      <c r="V17" s="2212"/>
      <c r="W17" s="2215"/>
      <c r="X17" s="1966"/>
    </row>
    <row s="2586" customFormat="1" customHeight="1" ht="11.25">
      <c r="A18" s="1294"/>
      <c r="B18" s="1294"/>
      <c r="C18" s="1294"/>
      <c r="D18" s="1294"/>
      <c r="E18" s="1294"/>
      <c r="F18" s="1322"/>
      <c r="G18" s="1322"/>
      <c r="H18" s="1322"/>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1576</v>
      </c>
      <c r="B19" s="1302" t="s">
        <v>1577</v>
      </c>
      <c r="C19" s="1302" t="s">
        <v>1578</v>
      </c>
      <c r="D19" s="1302" t="s">
        <v>1579</v>
      </c>
      <c r="E19" s="1302"/>
      <c r="F19" s="696"/>
      <c r="G19" s="696"/>
      <c r="H19" s="696"/>
      <c r="I19" s="357"/>
      <c r="J19" s="356"/>
      <c r="K19" s="351"/>
      <c r="L19" s="1329">
        <f>INDEX(PT_DIFFERENTIATION_NUM_NTAR,MATCH(A19,PT_DIFFERENTIATION_NTAR_ID,0))</f>
      </c>
      <c r="M19" s="286" t="s">
        <v>130</v>
      </c>
      <c r="N19" s="288"/>
      <c r="O19" s="2287">
        <f>INDEX(PT_DIFFERENTIATION_NTAR,MATCH(A19,PT_DIFFERENTIATION_NTAR_ID,0))</f>
      </c>
      <c r="P19" s="2287"/>
      <c r="Q19" s="2287"/>
      <c r="R19" s="2287"/>
      <c r="S19" s="2287"/>
      <c r="T19" s="2287"/>
      <c r="U19" s="2287"/>
      <c r="V19" s="2287"/>
      <c r="W19" s="2287"/>
      <c r="X19" s="1292" t="s">
        <v>461</v>
      </c>
      <c r="Z19" s="508"/>
      <c r="AA19" s="508" t="str">
        <f>IF(M19="","",M19)</f>
        <v>Наименование тарифа</v>
      </c>
      <c r="AB19" s="508"/>
      <c r="AC19" s="508"/>
    </row>
    <row customHeight="1" ht="21">
      <c r="A20" s="1302" t="s">
        <v>1576</v>
      </c>
      <c r="B20" s="1302" t="s">
        <v>1577</v>
      </c>
      <c r="C20" s="1302" t="s">
        <v>1578</v>
      </c>
      <c r="D20" s="1302" t="s">
        <v>1579</v>
      </c>
      <c r="E20" s="1302"/>
      <c r="F20" s="696"/>
      <c r="G20" s="696"/>
      <c r="H20" s="696"/>
      <c r="I20" s="1326"/>
      <c r="J20" s="348"/>
      <c r="K20" s="349"/>
      <c r="L20" s="1329">
        <f>INDEX(PT_DIFFERENTIATION_NUM_TER,MATCH(B19,PT_DIFFERENTIATION_TER_ID,0))</f>
      </c>
      <c r="M20" s="298" t="s">
        <v>462</v>
      </c>
      <c r="N20" s="288"/>
      <c r="O20" s="2287">
        <f>INDEX(PT_DIFFERENTIATION_TER,MATCH(B19,PT_DIFFERENTIATION_TER_ID,0))</f>
      </c>
      <c r="P20" s="2287"/>
      <c r="Q20" s="2287"/>
      <c r="R20" s="2287"/>
      <c r="S20" s="2287"/>
      <c r="T20" s="2287"/>
      <c r="U20" s="2287"/>
      <c r="V20" s="2287"/>
      <c r="W20" s="2287"/>
      <c r="X20" s="1292" t="s">
        <v>463</v>
      </c>
      <c r="Z20" s="508"/>
      <c r="AA20" s="508" t="str">
        <f>IF(M20="","",M20)</f>
        <v>Территория действия тарифа</v>
      </c>
      <c r="AB20" s="508"/>
      <c r="AC20" s="508"/>
    </row>
    <row customHeight="1" ht="22.5">
      <c r="A21" s="1302" t="s">
        <v>1576</v>
      </c>
      <c r="B21" s="1302" t="s">
        <v>1577</v>
      </c>
      <c r="C21" s="1302" t="s">
        <v>1578</v>
      </c>
      <c r="D21" s="1302" t="s">
        <v>1579</v>
      </c>
      <c r="E21" s="1302"/>
      <c r="F21" s="696"/>
      <c r="G21" s="696"/>
      <c r="H21" s="696"/>
      <c r="I21" s="350"/>
      <c r="J21" s="348"/>
      <c r="K21" s="349"/>
      <c r="L21" s="1329">
        <f>INDEX(PT_DIFFERENTIATION_NUM_CS,MATCH(C19,PT_DIFFERENTIATION_CS_ID,0))</f>
      </c>
      <c r="M21" s="299" t="s">
        <v>464</v>
      </c>
      <c r="N21" s="288"/>
      <c r="O21" s="2287">
        <f>INDEX(PT_DIFFERENTIATION_CS,MATCH(C19,PT_DIFFERENTIATION_CS_ID,0))</f>
      </c>
      <c r="P21" s="2287"/>
      <c r="Q21" s="2287"/>
      <c r="R21" s="2287"/>
      <c r="S21" s="2287"/>
      <c r="T21" s="2287"/>
      <c r="U21" s="2287"/>
      <c r="V21" s="2287"/>
      <c r="W21" s="2287"/>
      <c r="X21" s="1292" t="s">
        <v>465</v>
      </c>
      <c r="Z21" s="508"/>
      <c r="AA21" s="508" t="str">
        <f>IF(M21="","",M21)</f>
        <v>Наименование системы теплоснабжения </v>
      </c>
      <c r="AB21" s="508"/>
      <c r="AC21" s="508"/>
    </row>
    <row customHeight="1" ht="21">
      <c r="A22" s="1302" t="s">
        <v>1576</v>
      </c>
      <c r="B22" s="1302" t="s">
        <v>1577</v>
      </c>
      <c r="C22" s="1302" t="s">
        <v>1578</v>
      </c>
      <c r="D22" s="1302" t="s">
        <v>1579</v>
      </c>
      <c r="E22" s="1302"/>
      <c r="F22" s="696"/>
      <c r="G22" s="696"/>
      <c r="H22" s="696"/>
      <c r="I22" s="350"/>
      <c r="J22" s="348"/>
      <c r="K22" s="349"/>
      <c r="L22" s="1329">
        <f>INDEX(PT_DIFFERENTIATION_NUM_IST_TE,MATCH(D19,PT_DIFFERENTIATION_IST_TE_ID,0))</f>
      </c>
      <c r="M22" s="300" t="s">
        <v>466</v>
      </c>
      <c r="N22" s="288"/>
      <c r="O22" s="2287">
        <f>INDEX(PT_DIFFERENTIATION_IST_TE,MATCH(D19,PT_DIFFERENTIATION_IST_TE_ID,0))</f>
      </c>
      <c r="P22" s="2287"/>
      <c r="Q22" s="2287"/>
      <c r="R22" s="2287"/>
      <c r="S22" s="2287"/>
      <c r="T22" s="2287"/>
      <c r="U22" s="2287"/>
      <c r="V22" s="2287"/>
      <c r="W22" s="2287"/>
      <c r="X22" s="1292" t="s">
        <v>467</v>
      </c>
      <c r="Z22" s="508"/>
      <c r="AA22" s="508" t="str">
        <f>IF(M22="","",M22)</f>
        <v>Источник тепловой энергии  </v>
      </c>
      <c r="AB22" s="508"/>
      <c r="AC22" s="508"/>
    </row>
    <row customHeight="1" ht="94.5">
      <c r="A23" s="1302" t="s">
        <v>1576</v>
      </c>
      <c r="B23" s="1302" t="s">
        <v>1577</v>
      </c>
      <c r="C23" s="1302" t="s">
        <v>1578</v>
      </c>
      <c r="D23" s="1302" t="s">
        <v>1579</v>
      </c>
      <c r="E23" s="1302"/>
      <c r="F23" s="1964">
        <f>L22&amp;".1"</f>
      </c>
      <c r="I23" s="2190">
        <v>1</v>
      </c>
      <c r="J23" s="1327"/>
      <c r="K23" s="352"/>
      <c r="L23" s="1329">
        <f>$F$23</f>
      </c>
      <c r="M23" s="273" t="s">
        <v>469</v>
      </c>
      <c r="N23" s="288"/>
      <c r="O23" s="2289"/>
      <c r="P23" s="2289"/>
      <c r="Q23" s="2289"/>
      <c r="R23" s="2289"/>
      <c r="S23" s="2289"/>
      <c r="T23" s="2289"/>
      <c r="U23" s="2289"/>
      <c r="V23" s="2289"/>
      <c r="W23" s="2289"/>
      <c r="X23" s="1292" t="s">
        <v>470</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1576</v>
      </c>
      <c r="B24" s="1302" t="s">
        <v>1577</v>
      </c>
      <c r="C24" s="1302" t="s">
        <v>1578</v>
      </c>
      <c r="D24" s="1302" t="s">
        <v>1579</v>
      </c>
      <c r="E24" s="1302"/>
      <c r="F24" s="1964"/>
      <c r="G24" s="1938">
        <f>F23&amp;".1"</f>
      </c>
      <c r="I24" s="2190"/>
      <c r="J24" s="2190">
        <v>1</v>
      </c>
      <c r="K24" s="353"/>
      <c r="L24" s="1329">
        <f>$G$24</f>
      </c>
      <c r="M24" s="274" t="s">
        <v>472</v>
      </c>
      <c r="N24" s="288"/>
      <c r="O24" s="2290"/>
      <c r="P24" s="2291"/>
      <c r="Q24" s="2291"/>
      <c r="R24" s="2291"/>
      <c r="S24" s="2291"/>
      <c r="T24" s="2291"/>
      <c r="U24" s="2291"/>
      <c r="V24" s="2291"/>
      <c r="W24" s="2292"/>
      <c r="X24" s="1292" t="s">
        <v>473</v>
      </c>
      <c r="Z24" s="508"/>
      <c r="AA24" s="508" t="str">
        <f>IF(M24="","",M24)</f>
        <v>Группа потребителей</v>
      </c>
      <c r="AB24" s="508"/>
      <c r="AC24" s="508"/>
    </row>
    <row customHeight="1" ht="11.25">
      <c r="A25" s="1302" t="s">
        <v>1576</v>
      </c>
      <c r="B25" s="1302" t="s">
        <v>1577</v>
      </c>
      <c r="C25" s="1302" t="s">
        <v>1578</v>
      </c>
      <c r="D25" s="1302" t="s">
        <v>1579</v>
      </c>
      <c r="E25" s="1302"/>
      <c r="F25" s="1964"/>
      <c r="G25" s="1938"/>
      <c r="H25" s="1938">
        <f>G24&amp;".1"</f>
      </c>
      <c r="I25" s="2190"/>
      <c r="J25" s="2190"/>
      <c r="K25" s="353">
        <v>1</v>
      </c>
      <c r="L25" s="1329">
        <f>$H$25</f>
      </c>
      <c r="M25" s="1293"/>
      <c r="N25" s="288"/>
      <c r="O25" s="760"/>
      <c r="P25" s="320"/>
      <c r="Q25" s="760"/>
      <c r="R25" s="1291"/>
      <c r="S25" s="2283"/>
      <c r="T25" s="1946" t="s">
        <v>58</v>
      </c>
      <c r="U25" s="2283"/>
      <c r="V25" s="1946" t="s">
        <v>56</v>
      </c>
      <c r="W25" s="320"/>
      <c r="X25" s="2186" t="s">
        <v>475</v>
      </c>
      <c r="Y25" s="519">
        <f>STRCHECKDATE(O26:W26)</f>
      </c>
      <c r="Z25" s="508"/>
      <c r="AA25" s="508" t="str">
        <f>IF(M25="","",M25)</f>
        <v/>
      </c>
      <c r="AB25" s="508"/>
      <c r="AC25" s="508"/>
    </row>
    <row customHeight="1" ht="11.25">
      <c r="A26" s="1302" t="s">
        <v>1576</v>
      </c>
      <c r="B26" s="1302" t="s">
        <v>1577</v>
      </c>
      <c r="C26" s="1302" t="s">
        <v>1578</v>
      </c>
      <c r="D26" s="1302" t="s">
        <v>1579</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1576</v>
      </c>
      <c r="B27" s="1302" t="s">
        <v>1577</v>
      </c>
      <c r="C27" s="1302" t="s">
        <v>1578</v>
      </c>
      <c r="D27" s="1302" t="s">
        <v>1579</v>
      </c>
      <c r="E27" s="1302"/>
      <c r="F27" s="1964"/>
      <c r="G27" s="1938"/>
      <c r="I27" s="2190"/>
      <c r="J27" s="2190"/>
      <c r="K27" s="352"/>
      <c r="L27" s="1314"/>
      <c r="M27" s="276" t="s">
        <v>476</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1576</v>
      </c>
      <c r="B28" s="1302" t="s">
        <v>1577</v>
      </c>
      <c r="C28" s="1302" t="s">
        <v>1578</v>
      </c>
      <c r="D28" s="1302" t="s">
        <v>1579</v>
      </c>
      <c r="E28" s="1302"/>
      <c r="F28" s="1964"/>
      <c r="I28" s="2190"/>
      <c r="J28" s="1327"/>
      <c r="K28" s="352"/>
      <c r="L28" s="1314"/>
      <c r="M28" s="275" t="s">
        <v>477</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1576</v>
      </c>
      <c r="B29" s="1302" t="s">
        <v>1577</v>
      </c>
      <c r="C29" s="1302" t="s">
        <v>1578</v>
      </c>
      <c r="D29" s="1302" t="s">
        <v>1579</v>
      </c>
      <c r="E29" s="1302"/>
      <c r="F29" s="696"/>
      <c r="G29" s="696"/>
      <c r="H29" s="517"/>
      <c r="I29" s="356"/>
      <c r="J29" s="376"/>
      <c r="K29" s="351"/>
      <c r="L29" s="1314"/>
      <c r="M29" s="364" t="s">
        <v>478</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1576</v>
      </c>
      <c r="B30" s="1302" t="s">
        <v>1577</v>
      </c>
      <c r="C30" s="1302" t="s">
        <v>1578</v>
      </c>
      <c r="D30" s="1302"/>
      <c r="E30" s="1302" t="s">
        <v>1573</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1576</v>
      </c>
      <c r="B31" s="1302" t="s">
        <v>1577</v>
      </c>
      <c r="C31" s="1302"/>
      <c r="D31" s="1302"/>
      <c r="E31" s="1302" t="s">
        <v>1574</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1580</v>
      </c>
      <c r="B32" s="1302"/>
      <c r="C32" s="1302"/>
      <c r="D32" s="1302"/>
      <c r="E32" s="1302" t="s">
        <v>104</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7" customFormat="1" customHeight="1" ht="11.25">
      <c r="A33" s="1302"/>
      <c r="B33" s="1302"/>
      <c r="C33" s="1302"/>
      <c r="D33" s="1302"/>
      <c r="E33" s="1302" t="s">
        <v>438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510</v>
      </c>
      <c r="M35" s="2218" t="s">
        <v>517</v>
      </c>
      <c r="N35" s="2218"/>
      <c r="O35" s="2218"/>
      <c r="P35" s="2218"/>
      <c r="Q35" s="2218"/>
      <c r="R35" s="2218"/>
      <c r="S35" s="2218"/>
      <c r="T35" s="2218"/>
      <c r="U35" s="2218"/>
      <c r="V35" s="2218"/>
      <c r="W35" s="2218"/>
      <c r="X35" s="2218"/>
    </row>
    <row customHeight="1" ht="104.25">
      <c r="F36" s="1339"/>
      <c r="G36" s="1339"/>
      <c r="H36" s="517"/>
      <c r="I36" s="1339"/>
      <c r="M36" s="2218" t="s">
        <v>512</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17CAC-0F4C-4792-9B99-32A8C6CDF77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76" width="10.57421875"/>
    <col min="2" max="2" style="2876" width="11.00390625" customWidth="1"/>
    <col min="3" max="3" style="2876" width="10.57421875"/>
    <col min="4" max="4" style="2876" width="11.8515625" customWidth="1"/>
    <col min="5" max="5" style="2876" width="12.28125" customWidth="1"/>
    <col min="6" max="8" style="4024" width="12.28125" customWidth="1"/>
    <col min="9" max="9" style="4024" width="3.7109375" customWidth="1"/>
    <col min="10" max="11" style="3694" width="3.7109375" customWidth="1"/>
    <col min="12" max="12" style="3695" width="12.7109375" customWidth="1"/>
    <col min="13" max="13" style="2876" width="32.00390625" customWidth="1"/>
    <col min="14" max="14" style="2876" width="1.7109375" customWidth="1"/>
    <col min="15" max="18" style="2876" width="24.7109375" customWidth="1"/>
    <col min="19" max="19" style="2876" width="11.7109375" customWidth="1"/>
    <col min="20" max="20" style="2876" width="3.7109375" customWidth="1"/>
    <col min="21" max="21" style="2876" width="11.7109375" customWidth="1"/>
    <col min="22" max="22" style="2876" width="8.57421875" customWidth="1"/>
    <col min="23" max="23" style="2876" width="4.7109375" customWidth="1"/>
    <col min="24" max="24" style="2876"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1570</v>
      </c>
      <c r="M5" s="2284"/>
      <c r="N5" s="2284"/>
      <c r="O5" s="2284"/>
      <c r="P5" s="2284"/>
      <c r="Q5" s="2284"/>
      <c r="R5" s="2284"/>
      <c r="S5" s="2284"/>
      <c r="T5" s="2284"/>
      <c r="U5" s="2284"/>
      <c r="V5" s="1267"/>
    </row>
    <row customHeight="1" ht="14.25">
      <c r="J6" s="377"/>
      <c r="K6" s="377"/>
      <c r="L6" s="2285" t="str">
        <f>IF(org=0,"Не определено",org)</f>
        <v>МУП "Уссурийск-Водоканал"</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28" customFormat="1" customHeight="1" ht="45">
      <c r="F8" s="1273"/>
      <c r="G8" s="1273"/>
      <c r="H8" s="1273"/>
      <c r="L8" s="1312"/>
      <c r="M8" s="283" t="s">
        <v>39</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28" customFormat="1" customHeight="1" ht="22.5">
      <c r="F9" s="1273"/>
      <c r="G9" s="1273"/>
      <c r="H9" s="1273"/>
      <c r="L9" s="1312"/>
      <c r="M9" s="283" t="s">
        <v>485</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28" customFormat="1" customHeight="1" ht="22.5">
      <c r="F10" s="1273"/>
      <c r="G10" s="1273"/>
      <c r="H10" s="1273"/>
      <c r="L10" s="1275"/>
      <c r="M10" s="283" t="s">
        <v>486</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28" customFormat="1" customHeight="1" ht="22.5">
      <c r="F11" s="1273"/>
      <c r="G11" s="1273"/>
      <c r="H11" s="1273"/>
      <c r="L11" s="1275"/>
      <c r="M11" s="283" t="s">
        <v>40</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28" customFormat="1" customHeight="1" ht="11.25" hidden="1">
      <c r="F12" s="1273"/>
      <c r="G12" s="1273"/>
      <c r="H12" s="1273"/>
      <c r="L12" s="2286"/>
      <c r="M12" s="2286"/>
      <c r="N12" s="1323"/>
      <c r="O12" s="322"/>
      <c r="P12" s="322"/>
      <c r="Q12" s="322"/>
      <c r="R12" s="322"/>
      <c r="S12" s="322"/>
      <c r="T12" s="322"/>
      <c r="U12" s="322"/>
      <c r="V12" s="266" t="s">
        <v>489</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293</v>
      </c>
      <c r="M14" s="1966"/>
      <c r="N14" s="1966"/>
      <c r="O14" s="1966"/>
      <c r="P14" s="1966"/>
      <c r="Q14" s="1966"/>
      <c r="R14" s="1966"/>
      <c r="S14" s="1966"/>
      <c r="T14" s="1966"/>
      <c r="U14" s="1966"/>
      <c r="V14" s="1966"/>
      <c r="W14" s="1966"/>
      <c r="X14" s="1966" t="s">
        <v>294</v>
      </c>
    </row>
    <row customHeight="1" ht="14.25">
      <c r="J15" s="377"/>
      <c r="K15" s="377"/>
      <c r="L15" s="2206" t="s">
        <v>88</v>
      </c>
      <c r="M15" s="2047" t="s">
        <v>490</v>
      </c>
      <c r="N15" s="289"/>
      <c r="O15" s="2207" t="s">
        <v>1571</v>
      </c>
      <c r="P15" s="2208"/>
      <c r="Q15" s="2208"/>
      <c r="R15" s="2208"/>
      <c r="S15" s="2208"/>
      <c r="T15" s="2208"/>
      <c r="U15" s="2209"/>
      <c r="V15" s="2210" t="s">
        <v>492</v>
      </c>
      <c r="W15" s="2213" t="s">
        <v>1572</v>
      </c>
      <c r="X15" s="1966"/>
    </row>
    <row customHeight="1" ht="33.75">
      <c r="J16" s="377"/>
      <c r="K16" s="377"/>
      <c r="L16" s="2206"/>
      <c r="M16" s="2047"/>
      <c r="N16" s="1044"/>
      <c r="O16" s="2193" t="s">
        <v>495</v>
      </c>
      <c r="P16" s="2193" t="s">
        <v>496</v>
      </c>
      <c r="Q16" s="2195" t="s">
        <v>497</v>
      </c>
      <c r="R16" s="2196"/>
      <c r="S16" s="2195" t="s">
        <v>516</v>
      </c>
      <c r="T16" s="2202"/>
      <c r="U16" s="2196"/>
      <c r="V16" s="2211"/>
      <c r="W16" s="2214"/>
      <c r="X16" s="1966"/>
    </row>
    <row customHeight="1" ht="33.75">
      <c r="A17" s="1294" t="s">
        <v>141</v>
      </c>
      <c r="B17" s="1294" t="s">
        <v>142</v>
      </c>
      <c r="C17" s="1294" t="s">
        <v>143</v>
      </c>
      <c r="D17" s="1294" t="s">
        <v>144</v>
      </c>
      <c r="E17" s="1294"/>
      <c r="J17" s="377"/>
      <c r="K17" s="377"/>
      <c r="L17" s="2206"/>
      <c r="M17" s="2047"/>
      <c r="N17" s="290"/>
      <c r="O17" s="2194"/>
      <c r="P17" s="2194"/>
      <c r="Q17" s="1243" t="s">
        <v>506</v>
      </c>
      <c r="R17" s="1243" t="s">
        <v>507</v>
      </c>
      <c r="S17" s="1328" t="s">
        <v>508</v>
      </c>
      <c r="T17" s="2203" t="s">
        <v>509</v>
      </c>
      <c r="U17" s="2204"/>
      <c r="V17" s="2212"/>
      <c r="W17" s="2215"/>
      <c r="X17" s="1966"/>
    </row>
    <row s="2586" customFormat="1" customHeight="1" ht="11.25">
      <c r="A18" s="1294"/>
      <c r="B18" s="1294"/>
      <c r="C18" s="1294"/>
      <c r="D18" s="1294"/>
      <c r="E18" s="1294"/>
      <c r="F18" s="1322"/>
      <c r="G18" s="1322"/>
      <c r="H18" s="1322"/>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1581</v>
      </c>
      <c r="B19" s="1302" t="s">
        <v>1582</v>
      </c>
      <c r="C19" s="1302" t="s">
        <v>1583</v>
      </c>
      <c r="D19" s="1302" t="s">
        <v>1584</v>
      </c>
      <c r="E19" s="1302"/>
      <c r="F19" s="696"/>
      <c r="G19" s="696"/>
      <c r="H19" s="696"/>
      <c r="I19" s="357"/>
      <c r="J19" s="356"/>
      <c r="K19" s="351"/>
      <c r="L19" s="1329">
        <f>INDEX(PT_DIFFERENTIATION_NUM_NTAR,MATCH(A19,PT_DIFFERENTIATION_NTAR_ID,0))</f>
      </c>
      <c r="M19" s="286" t="s">
        <v>130</v>
      </c>
      <c r="N19" s="288"/>
      <c r="O19" s="2287">
        <f>INDEX(PT_DIFFERENTIATION_NTAR,MATCH(A19,PT_DIFFERENTIATION_NTAR_ID,0))</f>
      </c>
      <c r="P19" s="2287"/>
      <c r="Q19" s="2287"/>
      <c r="R19" s="2287"/>
      <c r="S19" s="2287"/>
      <c r="T19" s="2287"/>
      <c r="U19" s="2287"/>
      <c r="V19" s="2287"/>
      <c r="W19" s="2287"/>
      <c r="X19" s="1292" t="s">
        <v>461</v>
      </c>
      <c r="Z19" s="508"/>
      <c r="AA19" s="508" t="str">
        <f>IF(M19="","",M19)</f>
        <v>Наименование тарифа</v>
      </c>
      <c r="AB19" s="508"/>
      <c r="AC19" s="508"/>
    </row>
    <row customHeight="1" ht="21">
      <c r="A20" s="1302" t="s">
        <v>1581</v>
      </c>
      <c r="B20" s="1302" t="s">
        <v>1582</v>
      </c>
      <c r="C20" s="1302" t="s">
        <v>1583</v>
      </c>
      <c r="D20" s="1302" t="s">
        <v>1584</v>
      </c>
      <c r="E20" s="1302"/>
      <c r="F20" s="696"/>
      <c r="G20" s="696"/>
      <c r="H20" s="696"/>
      <c r="I20" s="1326"/>
      <c r="J20" s="348"/>
      <c r="K20" s="349"/>
      <c r="L20" s="1329">
        <f>INDEX(PT_DIFFERENTIATION_NUM_TER,MATCH(B19,PT_DIFFERENTIATION_TER_ID,0))</f>
      </c>
      <c r="M20" s="298" t="s">
        <v>462</v>
      </c>
      <c r="N20" s="288"/>
      <c r="O20" s="2287">
        <f>INDEX(PT_DIFFERENTIATION_TER,MATCH(B19,PT_DIFFERENTIATION_TER_ID,0))</f>
      </c>
      <c r="P20" s="2287"/>
      <c r="Q20" s="2287"/>
      <c r="R20" s="2287"/>
      <c r="S20" s="2287"/>
      <c r="T20" s="2287"/>
      <c r="U20" s="2287"/>
      <c r="V20" s="2287"/>
      <c r="W20" s="2287"/>
      <c r="X20" s="1292" t="s">
        <v>463</v>
      </c>
      <c r="Z20" s="508"/>
      <c r="AA20" s="508" t="str">
        <f>IF(M20="","",M20)</f>
        <v>Территория действия тарифа</v>
      </c>
      <c r="AB20" s="508"/>
      <c r="AC20" s="508"/>
    </row>
    <row customHeight="1" ht="22.5">
      <c r="A21" s="1302" t="s">
        <v>1581</v>
      </c>
      <c r="B21" s="1302" t="s">
        <v>1582</v>
      </c>
      <c r="C21" s="1302" t="s">
        <v>1583</v>
      </c>
      <c r="D21" s="1302" t="s">
        <v>1584</v>
      </c>
      <c r="E21" s="1302"/>
      <c r="F21" s="696"/>
      <c r="G21" s="696"/>
      <c r="H21" s="696"/>
      <c r="I21" s="350"/>
      <c r="J21" s="348"/>
      <c r="K21" s="349"/>
      <c r="L21" s="1329">
        <f>INDEX(PT_DIFFERENTIATION_NUM_CS,MATCH(C19,PT_DIFFERENTIATION_CS_ID,0))</f>
      </c>
      <c r="M21" s="299" t="s">
        <v>464</v>
      </c>
      <c r="N21" s="288"/>
      <c r="O21" s="2287">
        <f>INDEX(PT_DIFFERENTIATION_CS,MATCH(C19,PT_DIFFERENTIATION_CS_ID,0))</f>
      </c>
      <c r="P21" s="2287"/>
      <c r="Q21" s="2287"/>
      <c r="R21" s="2287"/>
      <c r="S21" s="2287"/>
      <c r="T21" s="2287"/>
      <c r="U21" s="2287"/>
      <c r="V21" s="2287"/>
      <c r="W21" s="2287"/>
      <c r="X21" s="1292" t="s">
        <v>465</v>
      </c>
      <c r="Z21" s="508"/>
      <c r="AA21" s="508" t="str">
        <f>IF(M21="","",M21)</f>
        <v>Наименование системы теплоснабжения </v>
      </c>
      <c r="AB21" s="508"/>
      <c r="AC21" s="508"/>
    </row>
    <row customHeight="1" ht="21">
      <c r="A22" s="1302" t="s">
        <v>1581</v>
      </c>
      <c r="B22" s="1302" t="s">
        <v>1582</v>
      </c>
      <c r="C22" s="1302" t="s">
        <v>1583</v>
      </c>
      <c r="D22" s="1302" t="s">
        <v>1584</v>
      </c>
      <c r="E22" s="1302"/>
      <c r="F22" s="696"/>
      <c r="G22" s="696"/>
      <c r="H22" s="696"/>
      <c r="I22" s="350"/>
      <c r="J22" s="348"/>
      <c r="K22" s="349"/>
      <c r="L22" s="1329">
        <f>INDEX(PT_DIFFERENTIATION_NUM_IST_TE,MATCH(D19,PT_DIFFERENTIATION_IST_TE_ID,0))</f>
      </c>
      <c r="M22" s="300" t="s">
        <v>466</v>
      </c>
      <c r="N22" s="288"/>
      <c r="O22" s="2287">
        <f>INDEX(PT_DIFFERENTIATION_IST_TE,MATCH(D19,PT_DIFFERENTIATION_IST_TE_ID,0))</f>
      </c>
      <c r="P22" s="2287"/>
      <c r="Q22" s="2287"/>
      <c r="R22" s="2287"/>
      <c r="S22" s="2287"/>
      <c r="T22" s="2287"/>
      <c r="U22" s="2287"/>
      <c r="V22" s="2287"/>
      <c r="W22" s="2287"/>
      <c r="X22" s="1292" t="s">
        <v>467</v>
      </c>
      <c r="Z22" s="508"/>
      <c r="AA22" s="508" t="str">
        <f>IF(M22="","",M22)</f>
        <v>Источник тепловой энергии  </v>
      </c>
      <c r="AB22" s="508"/>
      <c r="AC22" s="508"/>
    </row>
    <row customHeight="1" ht="94.5">
      <c r="A23" s="1302" t="s">
        <v>1581</v>
      </c>
      <c r="B23" s="1302" t="s">
        <v>1582</v>
      </c>
      <c r="C23" s="1302" t="s">
        <v>1583</v>
      </c>
      <c r="D23" s="1302" t="s">
        <v>1584</v>
      </c>
      <c r="E23" s="1302"/>
      <c r="F23" s="1964">
        <f>L22&amp;".1"</f>
      </c>
      <c r="I23" s="2190">
        <v>1</v>
      </c>
      <c r="J23" s="1327"/>
      <c r="K23" s="352"/>
      <c r="L23" s="1329">
        <f>$F$23</f>
      </c>
      <c r="M23" s="273" t="s">
        <v>469</v>
      </c>
      <c r="N23" s="288"/>
      <c r="O23" s="2289"/>
      <c r="P23" s="2289"/>
      <c r="Q23" s="2289"/>
      <c r="R23" s="2289"/>
      <c r="S23" s="2289"/>
      <c r="T23" s="2289"/>
      <c r="U23" s="2289"/>
      <c r="V23" s="2289"/>
      <c r="W23" s="2289"/>
      <c r="X23" s="1292" t="s">
        <v>470</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1581</v>
      </c>
      <c r="B24" s="1302" t="s">
        <v>1582</v>
      </c>
      <c r="C24" s="1302" t="s">
        <v>1583</v>
      </c>
      <c r="D24" s="1302" t="s">
        <v>1584</v>
      </c>
      <c r="E24" s="1302"/>
      <c r="F24" s="1964"/>
      <c r="G24" s="1938">
        <f>F23&amp;".1"</f>
      </c>
      <c r="I24" s="2190"/>
      <c r="J24" s="2190">
        <v>1</v>
      </c>
      <c r="K24" s="353"/>
      <c r="L24" s="1329">
        <f>$G$24</f>
      </c>
      <c r="M24" s="274" t="s">
        <v>472</v>
      </c>
      <c r="N24" s="288"/>
      <c r="O24" s="2290"/>
      <c r="P24" s="2291"/>
      <c r="Q24" s="2291"/>
      <c r="R24" s="2291"/>
      <c r="S24" s="2291"/>
      <c r="T24" s="2291"/>
      <c r="U24" s="2291"/>
      <c r="V24" s="2291"/>
      <c r="W24" s="2292"/>
      <c r="X24" s="1292" t="s">
        <v>473</v>
      </c>
      <c r="Z24" s="508"/>
      <c r="AA24" s="508" t="str">
        <f>IF(M24="","",M24)</f>
        <v>Группа потребителей</v>
      </c>
      <c r="AB24" s="508"/>
      <c r="AC24" s="508"/>
    </row>
    <row customHeight="1" ht="11.25">
      <c r="A25" s="1302" t="s">
        <v>1581</v>
      </c>
      <c r="B25" s="1302" t="s">
        <v>1582</v>
      </c>
      <c r="C25" s="1302" t="s">
        <v>1583</v>
      </c>
      <c r="D25" s="1302" t="s">
        <v>1584</v>
      </c>
      <c r="E25" s="1302"/>
      <c r="F25" s="1964"/>
      <c r="G25" s="1938"/>
      <c r="H25" s="1938">
        <f>G24&amp;".1"</f>
      </c>
      <c r="I25" s="2190"/>
      <c r="J25" s="2190"/>
      <c r="K25" s="353">
        <v>1</v>
      </c>
      <c r="L25" s="1329">
        <f>$H$25</f>
      </c>
      <c r="M25" s="1293"/>
      <c r="N25" s="288"/>
      <c r="O25" s="760"/>
      <c r="P25" s="320"/>
      <c r="Q25" s="760"/>
      <c r="R25" s="1291"/>
      <c r="S25" s="2283"/>
      <c r="T25" s="1946" t="s">
        <v>58</v>
      </c>
      <c r="U25" s="2283"/>
      <c r="V25" s="1946" t="s">
        <v>56</v>
      </c>
      <c r="W25" s="320"/>
      <c r="X25" s="2186" t="s">
        <v>475</v>
      </c>
      <c r="Y25" s="519">
        <f>STRCHECKDATE(O26:W26)</f>
      </c>
      <c r="Z25" s="508"/>
      <c r="AA25" s="508" t="str">
        <f>IF(M25="","",M25)</f>
        <v/>
      </c>
      <c r="AB25" s="508"/>
      <c r="AC25" s="508"/>
    </row>
    <row customHeight="1" ht="11.25">
      <c r="A26" s="1302" t="s">
        <v>1581</v>
      </c>
      <c r="B26" s="1302" t="s">
        <v>1582</v>
      </c>
      <c r="C26" s="1302" t="s">
        <v>1583</v>
      </c>
      <c r="D26" s="1302" t="s">
        <v>1584</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1581</v>
      </c>
      <c r="B27" s="1302" t="s">
        <v>1582</v>
      </c>
      <c r="C27" s="1302" t="s">
        <v>1583</v>
      </c>
      <c r="D27" s="1302" t="s">
        <v>1584</v>
      </c>
      <c r="E27" s="1302"/>
      <c r="F27" s="1964"/>
      <c r="G27" s="1938"/>
      <c r="I27" s="2190"/>
      <c r="J27" s="2190"/>
      <c r="K27" s="352"/>
      <c r="L27" s="1314"/>
      <c r="M27" s="276" t="s">
        <v>476</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1581</v>
      </c>
      <c r="B28" s="1302" t="s">
        <v>1582</v>
      </c>
      <c r="C28" s="1302" t="s">
        <v>1583</v>
      </c>
      <c r="D28" s="1302" t="s">
        <v>1584</v>
      </c>
      <c r="E28" s="1302"/>
      <c r="F28" s="1964"/>
      <c r="I28" s="2190"/>
      <c r="J28" s="1327"/>
      <c r="K28" s="352"/>
      <c r="L28" s="1314"/>
      <c r="M28" s="275" t="s">
        <v>477</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1581</v>
      </c>
      <c r="B29" s="1302" t="s">
        <v>1582</v>
      </c>
      <c r="C29" s="1302" t="s">
        <v>1583</v>
      </c>
      <c r="D29" s="1302" t="s">
        <v>1584</v>
      </c>
      <c r="E29" s="1302"/>
      <c r="F29" s="696"/>
      <c r="G29" s="696"/>
      <c r="H29" s="517"/>
      <c r="I29" s="356"/>
      <c r="J29" s="376"/>
      <c r="K29" s="351"/>
      <c r="L29" s="1314"/>
      <c r="M29" s="364" t="s">
        <v>478</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1581</v>
      </c>
      <c r="B30" s="1302" t="s">
        <v>1582</v>
      </c>
      <c r="C30" s="1302" t="s">
        <v>1583</v>
      </c>
      <c r="D30" s="1302"/>
      <c r="E30" s="1302" t="s">
        <v>1573</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1581</v>
      </c>
      <c r="B31" s="1302" t="s">
        <v>1582</v>
      </c>
      <c r="C31" s="1302"/>
      <c r="D31" s="1302"/>
      <c r="E31" s="1302" t="s">
        <v>1574</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1585</v>
      </c>
      <c r="B32" s="1302"/>
      <c r="C32" s="1302"/>
      <c r="D32" s="1302"/>
      <c r="E32" s="1302" t="s">
        <v>104</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7" customFormat="1" customHeight="1" ht="11.25">
      <c r="A33" s="1302"/>
      <c r="B33" s="1302"/>
      <c r="C33" s="1302"/>
      <c r="D33" s="1302"/>
      <c r="E33" s="1302" t="s">
        <v>438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510</v>
      </c>
      <c r="M35" s="2218" t="s">
        <v>517</v>
      </c>
      <c r="N35" s="2218"/>
      <c r="O35" s="2218"/>
      <c r="P35" s="2218"/>
      <c r="Q35" s="2218"/>
      <c r="R35" s="2218"/>
      <c r="S35" s="2218"/>
      <c r="T35" s="2218"/>
      <c r="U35" s="2218"/>
      <c r="V35" s="2218"/>
      <c r="W35" s="2218"/>
      <c r="X35" s="2218"/>
    </row>
    <row customHeight="1" ht="104.25">
      <c r="F36" s="1339"/>
      <c r="G36" s="1339"/>
      <c r="H36" s="517"/>
      <c r="I36" s="1339"/>
      <c r="M36" s="2218" t="s">
        <v>512</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DB0945-B02F-03AF-477D-EBFB0CD7CD7A}"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587" width="10.57421875"/>
    <col min="7" max="8" style="3723" width="9.140625" customWidth="1"/>
    <col min="9" max="9" style="3693" width="3.7109375" customWidth="1"/>
    <col min="10" max="11" style="3694" width="3.7109375" customWidth="1"/>
    <col min="12" max="12" style="2876" width="12.7109375" customWidth="1"/>
    <col min="13" max="13" style="2876" width="47.421875" customWidth="1"/>
    <col min="14" max="14" style="2876" width="2.7109375" hidden="1" customWidth="1"/>
    <col min="15" max="18" style="2876" width="23.7109375" customWidth="1"/>
    <col min="19" max="19" style="2876" width="11.7109375" customWidth="1"/>
    <col min="20" max="20" style="2876" width="3.7109375" customWidth="1"/>
    <col min="21" max="21" style="2876" width="11.7109375" customWidth="1"/>
    <col min="22" max="22" style="2876" width="8.57421875" hidden="1" customWidth="1"/>
    <col min="23" max="23" style="2876" width="4.7109375" customWidth="1"/>
    <col min="24" max="24" style="2876" width="115.7109375" customWidth="1"/>
    <col min="25" max="29" style="2587"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1586</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28" customFormat="1" customHeight="1" ht="22.5">
      <c r="A7" s="368"/>
      <c r="B7" s="368"/>
      <c r="C7" s="368"/>
      <c r="D7" s="368"/>
      <c r="E7" s="368"/>
      <c r="F7" s="368"/>
      <c r="G7" s="368"/>
      <c r="H7" s="368"/>
      <c r="L7" s="265"/>
      <c r="M7" s="283" t="s">
        <v>39</v>
      </c>
      <c r="N7" s="292"/>
      <c r="O7" s="2294">
        <f>IF(NameOrPr_ch="",IF(NameOrPr="","",NameOrPr),NameOrPr_ch)</f>
      </c>
      <c r="P7" s="2295"/>
      <c r="Q7" s="2295"/>
      <c r="R7" s="2295"/>
      <c r="S7" s="2295"/>
      <c r="T7" s="2296"/>
      <c r="U7" s="1272"/>
      <c r="Y7" s="368"/>
      <c r="Z7" s="368"/>
      <c r="AA7" s="368"/>
      <c r="AB7" s="368"/>
      <c r="AC7" s="368"/>
    </row>
    <row s="3628" customFormat="1" customHeight="1" ht="18.75">
      <c r="A8" s="368"/>
      <c r="B8" s="368"/>
      <c r="C8" s="368"/>
      <c r="D8" s="368"/>
      <c r="E8" s="368"/>
      <c r="F8" s="368"/>
      <c r="G8" s="368"/>
      <c r="H8" s="368"/>
      <c r="L8" s="265"/>
      <c r="M8" s="283" t="s">
        <v>485</v>
      </c>
      <c r="N8" s="292"/>
      <c r="O8" s="2294">
        <f>IF(datePr_ch="",IF(datePr="","",datePr),datePr_ch)</f>
      </c>
      <c r="P8" s="2295"/>
      <c r="Q8" s="2295"/>
      <c r="R8" s="2295"/>
      <c r="S8" s="2295"/>
      <c r="T8" s="2296"/>
      <c r="U8" s="1272"/>
      <c r="Y8" s="368"/>
      <c r="Z8" s="368"/>
      <c r="AA8" s="368"/>
      <c r="AB8" s="368"/>
      <c r="AC8" s="368"/>
    </row>
    <row s="3628" customFormat="1" customHeight="1" ht="18.75">
      <c r="A9" s="368"/>
      <c r="B9" s="368"/>
      <c r="C9" s="368"/>
      <c r="D9" s="368"/>
      <c r="E9" s="368"/>
      <c r="F9" s="368"/>
      <c r="G9" s="368"/>
      <c r="H9" s="368"/>
      <c r="L9" s="318"/>
      <c r="M9" s="283" t="s">
        <v>486</v>
      </c>
      <c r="N9" s="292"/>
      <c r="O9" s="2294">
        <f>IF(numberPr_ch="",IF(numberPr="","",numberPr),numberPr_ch)</f>
      </c>
      <c r="P9" s="2295"/>
      <c r="Q9" s="2295"/>
      <c r="R9" s="2295"/>
      <c r="S9" s="2295"/>
      <c r="T9" s="2296"/>
      <c r="U9" s="1272"/>
      <c r="Y9" s="368"/>
      <c r="Z9" s="368"/>
      <c r="AA9" s="368"/>
      <c r="AB9" s="368"/>
      <c r="AC9" s="368"/>
    </row>
    <row s="3628" customFormat="1" customHeight="1" ht="18.75">
      <c r="A10" s="368"/>
      <c r="B10" s="368"/>
      <c r="C10" s="368"/>
      <c r="D10" s="368"/>
      <c r="E10" s="368"/>
      <c r="F10" s="368"/>
      <c r="G10" s="368"/>
      <c r="H10" s="368"/>
      <c r="L10" s="318"/>
      <c r="M10" s="283" t="s">
        <v>40</v>
      </c>
      <c r="N10" s="292"/>
      <c r="O10" s="2294">
        <f>IF(IstPub_ch="",IF(IstPub="","",IstPub),IstPub_ch)</f>
      </c>
      <c r="P10" s="2295"/>
      <c r="Q10" s="2295"/>
      <c r="R10" s="2295"/>
      <c r="S10" s="2295"/>
      <c r="T10" s="2296"/>
      <c r="U10" s="1272"/>
      <c r="Y10" s="368"/>
      <c r="Z10" s="368"/>
      <c r="AA10" s="368"/>
      <c r="AB10" s="368"/>
      <c r="AC10" s="368"/>
    </row>
    <row s="2834" customFormat="1" customHeight="1" ht="18.75" hidden="1">
      <c r="A11" s="1276"/>
      <c r="B11" s="1276"/>
      <c r="C11" s="1276"/>
      <c r="D11" s="1276"/>
      <c r="E11" s="1276"/>
      <c r="F11" s="1276"/>
      <c r="G11" s="1276"/>
      <c r="H11" s="1276"/>
      <c r="L11" s="318"/>
      <c r="M11" s="315"/>
      <c r="O11" s="1277"/>
      <c r="P11" s="1277"/>
      <c r="Q11" s="368" t="s">
        <v>1587</v>
      </c>
      <c r="R11" s="368" t="s">
        <v>1588</v>
      </c>
      <c r="S11" s="1277"/>
      <c r="T11" s="1277"/>
      <c r="U11" s="1272"/>
      <c r="Y11" s="1276"/>
      <c r="Z11" s="1276"/>
      <c r="AA11" s="1276"/>
      <c r="AB11" s="1276"/>
      <c r="AC11" s="1276"/>
    </row>
    <row s="3628"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489</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293</v>
      </c>
      <c r="M14" s="1966"/>
      <c r="N14" s="1966"/>
      <c r="O14" s="1966"/>
      <c r="P14" s="1966"/>
      <c r="Q14" s="1966"/>
      <c r="R14" s="1966"/>
      <c r="S14" s="1966"/>
      <c r="T14" s="1966"/>
      <c r="U14" s="1966"/>
      <c r="V14" s="1966"/>
      <c r="W14" s="1966"/>
      <c r="X14" s="1966" t="s">
        <v>294</v>
      </c>
    </row>
    <row customHeight="1" ht="14.25">
      <c r="J15" s="377"/>
      <c r="K15" s="377"/>
      <c r="L15" s="2047" t="s">
        <v>88</v>
      </c>
      <c r="M15" s="2047" t="s">
        <v>1589</v>
      </c>
      <c r="N15" s="1238"/>
      <c r="O15" s="2047" t="s">
        <v>1590</v>
      </c>
      <c r="P15" s="2046" t="s">
        <v>1591</v>
      </c>
      <c r="Q15" s="2046" t="s">
        <v>1571</v>
      </c>
      <c r="R15" s="2046"/>
      <c r="S15" s="2046"/>
      <c r="T15" s="2046"/>
      <c r="U15" s="2046"/>
      <c r="V15" s="2047" t="s">
        <v>492</v>
      </c>
      <c r="W15" s="2298" t="s">
        <v>1572</v>
      </c>
      <c r="X15" s="1966"/>
    </row>
    <row customHeight="1" ht="25.5">
      <c r="J16" s="377"/>
      <c r="K16" s="377"/>
      <c r="L16" s="2047"/>
      <c r="M16" s="2047"/>
      <c r="N16" s="1238"/>
      <c r="O16" s="2047"/>
      <c r="P16" s="2046"/>
      <c r="Q16" s="2046" t="s">
        <v>1592</v>
      </c>
      <c r="R16" s="2046"/>
      <c r="S16" s="2237" t="s">
        <v>516</v>
      </c>
      <c r="T16" s="2237"/>
      <c r="U16" s="2237"/>
      <c r="V16" s="2047"/>
      <c r="W16" s="2298"/>
      <c r="X16" s="1966"/>
    </row>
    <row customHeight="1" ht="14.25">
      <c r="J17" s="377"/>
      <c r="K17" s="377"/>
      <c r="L17" s="2047"/>
      <c r="M17" s="2047"/>
      <c r="N17" s="1238"/>
      <c r="O17" s="2047"/>
      <c r="P17" s="2046"/>
      <c r="Q17" s="1238" t="s">
        <v>553</v>
      </c>
      <c r="R17" s="1238" t="s">
        <v>554</v>
      </c>
      <c r="S17" s="1242" t="s">
        <v>508</v>
      </c>
      <c r="T17" s="2300" t="s">
        <v>509</v>
      </c>
      <c r="U17" s="2300"/>
      <c r="V17" s="2047"/>
      <c r="W17" s="2298"/>
      <c r="X17" s="1966"/>
    </row>
    <row customHeight="1" ht="14.25">
      <c r="J18" s="377"/>
      <c r="K18" s="279">
        <v>1</v>
      </c>
      <c r="L18" s="456" t="s">
        <v>109</v>
      </c>
      <c r="M18" s="456" t="s">
        <v>110</v>
      </c>
      <c r="N18" s="1274" t="s">
        <v>110</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130</v>
      </c>
      <c r="N19" s="305"/>
      <c r="O19" s="2299"/>
      <c r="P19" s="2299"/>
      <c r="Q19" s="2299"/>
      <c r="R19" s="2299"/>
      <c r="S19" s="2299"/>
      <c r="T19" s="2299"/>
      <c r="U19" s="2299"/>
      <c r="V19" s="2299"/>
      <c r="W19" s="2299"/>
      <c r="X19" s="341" t="s">
        <v>461</v>
      </c>
    </row>
    <row customHeight="1" ht="22.5">
      <c r="A20" s="2190"/>
      <c r="B20" s="2190">
        <v>1</v>
      </c>
      <c r="C20" s="526"/>
      <c r="D20" s="526"/>
      <c r="E20" s="526"/>
      <c r="F20" s="526"/>
      <c r="G20" s="386"/>
      <c r="H20" s="1241"/>
      <c r="I20" s="359"/>
      <c r="J20" s="1248"/>
      <c r="K20" s="1169"/>
      <c r="L20" s="1247">
        <f>MERGEVALUE(A20)&amp;"."&amp;MERGEVALUE(B20)</f>
      </c>
      <c r="M20" s="298" t="s">
        <v>462</v>
      </c>
      <c r="N20" s="305"/>
      <c r="O20" s="2299"/>
      <c r="P20" s="2299"/>
      <c r="Q20" s="2299"/>
      <c r="R20" s="2299"/>
      <c r="S20" s="2299"/>
      <c r="T20" s="2299"/>
      <c r="U20" s="2299"/>
      <c r="V20" s="2299"/>
      <c r="W20" s="2299"/>
      <c r="X20" s="341" t="s">
        <v>463</v>
      </c>
    </row>
    <row customHeight="1" ht="22.5">
      <c r="A21" s="2190"/>
      <c r="B21" s="2190"/>
      <c r="C21" s="2190">
        <v>1</v>
      </c>
      <c r="D21" s="526"/>
      <c r="E21" s="526"/>
      <c r="F21" s="526"/>
      <c r="G21" s="386"/>
      <c r="H21" s="1241"/>
      <c r="I21" s="360"/>
      <c r="J21" s="1248"/>
      <c r="K21" s="1169"/>
      <c r="L21" s="1247">
        <f>MERGEVALUE(A21)&amp;"."&amp;MERGEVALUE(B21)&amp;"."&amp;MERGEVALUE(C21)</f>
      </c>
      <c r="M21" s="299" t="s">
        <v>464</v>
      </c>
      <c r="N21" s="305"/>
      <c r="O21" s="2299"/>
      <c r="P21" s="2299"/>
      <c r="Q21" s="2299"/>
      <c r="R21" s="2299"/>
      <c r="S21" s="2299"/>
      <c r="T21" s="2299"/>
      <c r="U21" s="2299"/>
      <c r="V21" s="2299"/>
      <c r="W21" s="2299"/>
      <c r="X21" s="341" t="s">
        <v>465</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466</v>
      </c>
      <c r="N22" s="305"/>
      <c r="O22" s="2299"/>
      <c r="P22" s="2299"/>
      <c r="Q22" s="2299"/>
      <c r="R22" s="2299"/>
      <c r="S22" s="2299"/>
      <c r="T22" s="2299"/>
      <c r="U22" s="2299"/>
      <c r="V22" s="2299"/>
      <c r="W22" s="2299"/>
      <c r="X22" s="333" t="s">
        <v>1593</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56</v>
      </c>
      <c r="U23" s="1280"/>
      <c r="V23" s="1236" t="s">
        <v>56</v>
      </c>
      <c r="W23" s="1281"/>
      <c r="X23" s="2006" t="s">
        <v>1594</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542</v>
      </c>
      <c r="N25" s="363"/>
      <c r="O25" s="317"/>
      <c r="P25" s="317"/>
      <c r="Q25" s="317"/>
      <c r="R25" s="317"/>
      <c r="S25" s="321"/>
      <c r="T25" s="367"/>
      <c r="U25" s="366"/>
      <c r="V25" s="363"/>
      <c r="W25" s="363"/>
      <c r="X25" s="2008"/>
    </row>
    <row s="4017" customFormat="1" customHeight="1" ht="14.25">
      <c r="A26" s="2190"/>
      <c r="B26" s="2190"/>
      <c r="C26" s="2190"/>
      <c r="D26" s="385"/>
      <c r="E26" s="385"/>
      <c r="F26" s="385"/>
      <c r="G26" s="386"/>
      <c r="H26" s="385"/>
      <c r="I26" s="360"/>
      <c r="J26" s="376"/>
      <c r="K26" s="378"/>
      <c r="L26" s="297"/>
      <c r="M26" s="372" t="s">
        <v>1573</v>
      </c>
      <c r="N26" s="363"/>
      <c r="O26" s="317"/>
      <c r="P26" s="317"/>
      <c r="Q26" s="317"/>
      <c r="R26" s="317"/>
      <c r="S26" s="321"/>
      <c r="T26" s="367"/>
      <c r="U26" s="366"/>
      <c r="V26" s="363"/>
      <c r="W26" s="367"/>
      <c r="X26" s="1283"/>
      <c r="Y26" s="383"/>
      <c r="Z26" s="383"/>
      <c r="AA26" s="383"/>
      <c r="AB26" s="383"/>
      <c r="AC26" s="383"/>
    </row>
    <row s="4017" customFormat="1" customHeight="1" ht="14.25">
      <c r="A27" s="2190"/>
      <c r="B27" s="2190"/>
      <c r="C27" s="385"/>
      <c r="D27" s="385"/>
      <c r="E27" s="385"/>
      <c r="F27" s="385"/>
      <c r="G27" s="386"/>
      <c r="H27" s="385"/>
      <c r="I27" s="356"/>
      <c r="J27" s="376"/>
      <c r="K27" s="378"/>
      <c r="L27" s="297"/>
      <c r="M27" s="363" t="s">
        <v>1574</v>
      </c>
      <c r="N27" s="363"/>
      <c r="O27" s="317"/>
      <c r="P27" s="317"/>
      <c r="Q27" s="317"/>
      <c r="R27" s="317"/>
      <c r="S27" s="321"/>
      <c r="T27" s="367"/>
      <c r="U27" s="366"/>
      <c r="V27" s="363"/>
      <c r="W27" s="367"/>
      <c r="X27" s="319"/>
      <c r="Y27" s="383"/>
      <c r="Z27" s="383"/>
      <c r="AA27" s="383"/>
      <c r="AB27" s="383"/>
      <c r="AC27" s="383"/>
    </row>
    <row s="4017" customFormat="1" customHeight="1" ht="14.25">
      <c r="A28" s="2190"/>
      <c r="B28" s="385"/>
      <c r="C28" s="385"/>
      <c r="D28" s="385"/>
      <c r="E28" s="385"/>
      <c r="F28" s="385"/>
      <c r="G28" s="386"/>
      <c r="H28" s="385"/>
      <c r="I28" s="356"/>
      <c r="J28" s="376"/>
      <c r="K28" s="378"/>
      <c r="L28" s="297"/>
      <c r="M28" s="422" t="s">
        <v>104</v>
      </c>
      <c r="N28" s="363"/>
      <c r="O28" s="317"/>
      <c r="P28" s="317"/>
      <c r="Q28" s="317"/>
      <c r="R28" s="317"/>
      <c r="S28" s="321"/>
      <c r="T28" s="367"/>
      <c r="U28" s="366"/>
      <c r="V28" s="363"/>
      <c r="W28" s="367"/>
      <c r="X28" s="319"/>
      <c r="Y28" s="383"/>
      <c r="Z28" s="383"/>
      <c r="AA28" s="383"/>
      <c r="AB28" s="383"/>
      <c r="AC28" s="383"/>
    </row>
    <row s="4017" customFormat="1" customHeight="1" ht="14.25">
      <c r="G29" s="365"/>
      <c r="H29" s="378"/>
      <c r="I29" s="375"/>
      <c r="J29" s="376"/>
      <c r="L29" s="297"/>
      <c r="M29" s="423" t="s">
        <v>438</v>
      </c>
      <c r="N29" s="363"/>
      <c r="O29" s="317"/>
      <c r="P29" s="317"/>
      <c r="Q29" s="317"/>
      <c r="R29" s="317"/>
      <c r="S29" s="321"/>
      <c r="T29" s="367"/>
      <c r="U29" s="366"/>
      <c r="V29" s="363"/>
      <c r="W29" s="367"/>
      <c r="X29" s="319"/>
      <c r="Y29" s="383"/>
      <c r="Z29" s="383"/>
      <c r="AA29" s="383"/>
      <c r="AB29" s="383"/>
      <c r="AC29" s="383"/>
    </row>
    <row r="31" customHeight="1" ht="14.25">
      <c r="L31" s="49">
        <v>1</v>
      </c>
      <c r="M31" s="2218" t="s">
        <v>1595</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F09E86-E9A6-5906-89BF-D7652AB6D37B}"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619" width="9.140625" hidden="1" customWidth="1"/>
    <col min="2" max="2" style="3520" width="9.140625" hidden="1" customWidth="1"/>
    <col min="3" max="3" style="3543" width="3.7109375" customWidth="1"/>
    <col min="4" max="4" style="2663" width="6.28125" customWidth="1"/>
    <col min="5" max="5" style="2663" width="63.421875" customWidth="1"/>
    <col min="6" max="6" style="2663" width="1.7109375" hidden="1" customWidth="1"/>
    <col min="7" max="8" style="2663" width="35.7109375" customWidth="1"/>
    <col min="9" max="9" style="2663" width="91.57421875" customWidth="1"/>
    <col min="10" max="10" style="2663" width="68.8515625" customWidth="1"/>
    <col min="11" max="12" style="2605" width="10.57421875"/>
  </cols>
  <sheetData>
    <row customHeight="1" ht="14.25" hidden="1"/>
    <row s="2885" customFormat="1" customHeight="1" ht="18.75" hidden="1">
      <c r="A2" s="1729"/>
      <c r="B2" s="1174"/>
      <c r="C2" s="1776" t="s">
        <v>121</v>
      </c>
      <c r="D2" s="1719"/>
      <c r="E2" s="185"/>
      <c r="F2" s="1716"/>
      <c r="G2" s="1716" t="s">
        <v>299</v>
      </c>
      <c r="H2" s="1175"/>
      <c r="K2" s="1670"/>
      <c r="L2" s="1670"/>
    </row>
    <row s="2885" customFormat="1" customHeight="1" ht="14.25" hidden="1">
      <c r="A3" s="1398"/>
      <c r="B3" s="1174"/>
      <c r="C3" s="340"/>
      <c r="K3" s="1670"/>
      <c r="L3" s="1670"/>
    </row>
    <row s="2885" customFormat="1" customHeight="1" ht="18.75" hidden="1">
      <c r="A4" s="1729"/>
      <c r="B4" s="1174"/>
      <c r="C4" s="1776" t="s">
        <v>121</v>
      </c>
      <c r="D4" s="1719"/>
      <c r="E4" s="191" t="s">
        <v>1596</v>
      </c>
      <c r="F4" s="1716"/>
      <c r="G4" s="243"/>
      <c r="H4" s="1716" t="s">
        <v>299</v>
      </c>
      <c r="K4" s="1670"/>
      <c r="L4" s="1670"/>
    </row>
    <row s="2885" customFormat="1" customHeight="1" ht="14.25" hidden="1">
      <c r="A5" s="1398"/>
      <c r="B5" s="1174"/>
      <c r="C5" s="340"/>
      <c r="K5" s="1670"/>
      <c r="L5" s="1670"/>
    </row>
    <row s="2885" customFormat="1" customHeight="1" ht="18.75" hidden="1">
      <c r="A6" s="1729"/>
      <c r="B6" s="1174"/>
      <c r="C6" s="1776" t="s">
        <v>121</v>
      </c>
      <c r="D6" s="1719"/>
      <c r="E6" s="192" t="s">
        <v>1597</v>
      </c>
      <c r="F6" s="1716"/>
      <c r="G6" s="243"/>
      <c r="H6" s="1716" t="s">
        <v>299</v>
      </c>
      <c r="K6" s="1670"/>
      <c r="L6" s="1670"/>
    </row>
    <row s="2885" customFormat="1" customHeight="1" ht="14.25" hidden="1">
      <c r="A7" s="1398"/>
      <c r="B7" s="1174"/>
      <c r="C7" s="340"/>
      <c r="K7" s="1670"/>
      <c r="L7" s="1670"/>
    </row>
    <row s="2885" customFormat="1" customHeight="1" ht="18.75" hidden="1">
      <c r="A8" s="1729"/>
      <c r="B8" s="1174"/>
      <c r="C8" s="1776" t="s">
        <v>121</v>
      </c>
      <c r="D8" s="1719"/>
      <c r="E8" s="192" t="s">
        <v>1598</v>
      </c>
      <c r="F8" s="1716"/>
      <c r="G8" s="243"/>
      <c r="H8" s="1716" t="s">
        <v>299</v>
      </c>
      <c r="K8" s="1670"/>
      <c r="L8" s="1670"/>
    </row>
    <row s="2885" customFormat="1" customHeight="1" ht="14.25" hidden="1">
      <c r="A9" s="1398"/>
      <c r="B9" s="1174"/>
      <c r="C9" s="340"/>
      <c r="K9" s="1670"/>
      <c r="L9" s="1670"/>
    </row>
    <row s="2885" customFormat="1" customHeight="1" ht="18.75" hidden="1">
      <c r="A10" s="1729"/>
      <c r="B10" s="1174"/>
      <c r="C10" s="1776" t="s">
        <v>121</v>
      </c>
      <c r="D10" s="1719"/>
      <c r="E10" s="192" t="s">
        <v>1599</v>
      </c>
      <c r="F10" s="1716"/>
      <c r="G10" s="1720"/>
      <c r="H10" s="1716" t="s">
        <v>299</v>
      </c>
      <c r="K10" s="1670"/>
      <c r="L10" s="1670" t="s">
        <v>1600</v>
      </c>
    </row>
    <row customHeight="1" ht="14.25" hidden="1"/>
    <row customHeight="1" ht="14.25" hidden="1"/>
    <row customHeight="1" ht="14.25">
      <c r="C13" s="82"/>
      <c r="D13" s="69"/>
      <c r="E13" s="69"/>
      <c r="F13" s="69"/>
      <c r="G13" s="69"/>
      <c r="H13" s="70"/>
      <c r="I13" s="70"/>
    </row>
    <row customHeight="1" ht="30">
      <c r="C14" s="82"/>
      <c r="D14" s="216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E14" s="2169"/>
      <c r="F14" s="2169"/>
      <c r="G14" s="2169"/>
      <c r="H14" s="2170"/>
      <c r="J14" s="1677"/>
    </row>
    <row s="2885" customFormat="1" customHeight="1" ht="14.25">
      <c r="A15" s="1398"/>
      <c r="B15" s="1174"/>
      <c r="C15" s="377"/>
      <c r="D15" s="2171" t="str">
        <f>IF(org=0,"Не определено",org)</f>
        <v>МУП "Уссурийск-Водоканал"</v>
      </c>
      <c r="E15" s="2172"/>
      <c r="F15" s="2172"/>
      <c r="G15" s="2172"/>
      <c r="H15" s="2173"/>
      <c r="J15" s="862"/>
      <c r="K15" s="1670"/>
      <c r="L15" s="1670"/>
    </row>
    <row customHeight="1" ht="14.25">
      <c r="C16" s="82"/>
      <c r="D16" s="69"/>
      <c r="E16" s="81"/>
      <c r="F16" s="81"/>
      <c r="G16" s="81"/>
      <c r="H16" s="762"/>
      <c r="I16" s="179"/>
    </row>
    <row s="2885" customFormat="1" customHeight="1" ht="14.25" hidden="1">
      <c r="A17" s="1398"/>
      <c r="B17" s="1174"/>
      <c r="C17" s="377"/>
      <c r="D17" s="361"/>
      <c r="E17" s="395"/>
      <c r="F17" s="395"/>
      <c r="G17" s="395"/>
      <c r="H17" s="762"/>
      <c r="I17" s="179"/>
      <c r="K17" s="1670"/>
      <c r="L17" s="1670"/>
    </row>
    <row customHeight="1" ht="21">
      <c r="C18" s="82"/>
      <c r="D18" s="2047" t="s">
        <v>293</v>
      </c>
      <c r="E18" s="2047"/>
      <c r="F18" s="2047"/>
      <c r="G18" s="2047"/>
      <c r="H18" s="2047"/>
      <c r="I18" s="2174" t="s">
        <v>294</v>
      </c>
    </row>
    <row customHeight="1" ht="21">
      <c r="C19" s="82"/>
      <c r="D19" s="91" t="s">
        <v>88</v>
      </c>
      <c r="E19" s="94" t="s">
        <v>295</v>
      </c>
      <c r="F19" s="94"/>
      <c r="G19" s="94" t="s">
        <v>296</v>
      </c>
      <c r="H19" s="94" t="s">
        <v>385</v>
      </c>
      <c r="I19" s="2174"/>
    </row>
    <row customHeight="1" ht="12">
      <c r="C20" s="82"/>
      <c r="D20" s="72" t="s">
        <v>109</v>
      </c>
      <c r="E20" s="72" t="s">
        <v>110</v>
      </c>
      <c r="F20" s="72"/>
      <c r="G20" s="72" t="s">
        <v>90</v>
      </c>
      <c r="H20" s="72" t="s">
        <v>91</v>
      </c>
      <c r="I20" s="72" t="s">
        <v>111</v>
      </c>
    </row>
    <row customHeight="1" ht="14.25">
      <c r="A21" s="1729"/>
      <c r="C21" s="82"/>
      <c r="D21" s="133">
        <v>1</v>
      </c>
      <c r="E21" s="2304" t="s">
        <v>1601</v>
      </c>
      <c r="F21" s="2304"/>
      <c r="G21" s="2304"/>
      <c r="H21" s="2304"/>
      <c r="I21" s="194"/>
    </row>
    <row customHeight="1" ht="20.25">
      <c r="A22" s="1729"/>
      <c r="C22" s="82"/>
      <c r="D22" s="133" t="s">
        <v>431</v>
      </c>
      <c r="E22" s="180" t="s">
        <v>1602</v>
      </c>
      <c r="F22" s="184"/>
      <c r="G22" s="1783"/>
      <c r="H22" s="184" t="s">
        <v>299</v>
      </c>
      <c r="I22" s="137" t="s">
        <v>1603</v>
      </c>
    </row>
    <row customHeight="1" ht="45">
      <c r="A23" s="1729"/>
      <c r="C23" s="82"/>
      <c r="D23" s="133" t="s">
        <v>446</v>
      </c>
      <c r="E23" s="180" t="s">
        <v>1604</v>
      </c>
      <c r="F23" s="184"/>
      <c r="G23" s="243"/>
      <c r="H23" s="199"/>
      <c r="I23" s="244" t="s">
        <v>1605</v>
      </c>
    </row>
    <row customHeight="1" ht="14.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84"/>
      <c r="G24" s="184" t="s">
        <v>299</v>
      </c>
      <c r="H24" s="199"/>
      <c r="I24" s="245" t="s">
        <v>1561</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9"/>
      <c r="C26" s="82"/>
      <c r="D26" s="133" t="s">
        <v>319</v>
      </c>
      <c r="E26" s="185"/>
      <c r="F26" s="184"/>
      <c r="G26" s="184" t="s">
        <v>299</v>
      </c>
      <c r="H26" s="199"/>
      <c r="I26" s="2006" t="s">
        <v>1606</v>
      </c>
    </row>
    <row customHeight="1" ht="15">
      <c r="A27" s="1729" t="s">
        <v>109</v>
      </c>
      <c r="C27" s="82"/>
      <c r="D27" s="95"/>
      <c r="E27" s="189" t="s">
        <v>454</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03"/>
      <c r="G28" s="2303"/>
      <c r="H28" s="2303"/>
      <c r="I28" s="242"/>
    </row>
    <row customHeight="1" ht="20.25">
      <c r="A29" s="1729"/>
      <c r="C29" s="82"/>
      <c r="D29" s="133" t="s">
        <v>1466</v>
      </c>
      <c r="E29" s="191" t="s">
        <v>1596</v>
      </c>
      <c r="F29" s="184"/>
      <c r="G29" s="243"/>
      <c r="H29" s="184" t="s">
        <v>299</v>
      </c>
      <c r="I29" s="2006" t="s">
        <v>1607</v>
      </c>
    </row>
    <row customHeight="1" ht="15">
      <c r="A30" s="1729" t="s">
        <v>110</v>
      </c>
      <c r="C30" s="82"/>
      <c r="D30" s="95"/>
      <c r="E30" s="189" t="s">
        <v>454</v>
      </c>
      <c r="F30" s="190"/>
      <c r="G30" s="190"/>
      <c r="H30" s="187"/>
      <c r="I30" s="2008"/>
    </row>
    <row customHeight="1" ht="30">
      <c r="A31" s="1729"/>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03"/>
      <c r="G31" s="2303"/>
      <c r="H31" s="2303"/>
      <c r="I31" s="242"/>
    </row>
    <row customHeight="1" ht="26.25">
      <c r="A32" s="1729"/>
      <c r="C32" s="82"/>
      <c r="D32" s="133" t="s">
        <v>308</v>
      </c>
      <c r="E32"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02"/>
      <c r="G32" s="2302"/>
      <c r="H32" s="2302"/>
      <c r="I32" s="242"/>
    </row>
    <row customHeight="1" ht="14.25">
      <c r="A33" s="1729"/>
      <c r="C33" s="82"/>
      <c r="D33" s="133" t="s">
        <v>1473</v>
      </c>
      <c r="E33" s="192" t="s">
        <v>1597</v>
      </c>
      <c r="F33" s="184"/>
      <c r="G33" s="243"/>
      <c r="H33" s="184" t="s">
        <v>299</v>
      </c>
      <c r="I33" s="2006" t="s">
        <v>1608</v>
      </c>
    </row>
    <row customHeight="1" ht="15">
      <c r="A34" s="1729" t="s">
        <v>90</v>
      </c>
      <c r="C34" s="82"/>
      <c r="D34" s="95"/>
      <c r="E34" s="190" t="s">
        <v>454</v>
      </c>
      <c r="F34" s="186"/>
      <c r="G34" s="186"/>
      <c r="H34" s="187"/>
      <c r="I34" s="2008"/>
    </row>
    <row customHeight="1" ht="24">
      <c r="A35" s="1729"/>
      <c r="C35" s="82"/>
      <c r="D35" s="133" t="s">
        <v>310</v>
      </c>
      <c r="E35"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02"/>
      <c r="G35" s="2302"/>
      <c r="H35" s="2302"/>
      <c r="I35" s="242"/>
    </row>
    <row customHeight="1" ht="14.25">
      <c r="A36" s="1729"/>
      <c r="C36" s="82"/>
      <c r="D36" s="133" t="s">
        <v>1609</v>
      </c>
      <c r="E36" s="192" t="s">
        <v>1598</v>
      </c>
      <c r="F36" s="184"/>
      <c r="G36" s="243"/>
      <c r="H36" s="184" t="s">
        <v>299</v>
      </c>
      <c r="I36" s="1982" t="s">
        <v>1610</v>
      </c>
    </row>
    <row customHeight="1" ht="15">
      <c r="A37" s="1729" t="s">
        <v>91</v>
      </c>
      <c r="C37" s="82"/>
      <c r="D37" s="95"/>
      <c r="E37" s="190" t="s">
        <v>454</v>
      </c>
      <c r="F37" s="186"/>
      <c r="G37" s="186"/>
      <c r="H37" s="187"/>
      <c r="I37" s="1982"/>
    </row>
    <row customHeight="1" ht="26.25">
      <c r="A38" s="1729"/>
      <c r="C38" s="82"/>
      <c r="D38" s="133" t="s">
        <v>313</v>
      </c>
      <c r="E38"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02"/>
      <c r="G38" s="2302"/>
      <c r="H38" s="2302"/>
      <c r="I38" s="242"/>
    </row>
    <row customHeight="1" ht="14.25">
      <c r="A39" s="1729"/>
      <c r="C39" s="82"/>
      <c r="D39" s="133" t="s">
        <v>1611</v>
      </c>
      <c r="E39" s="192" t="s">
        <v>1599</v>
      </c>
      <c r="F39" s="184"/>
      <c r="G39" s="193"/>
      <c r="H39" s="184" t="s">
        <v>299</v>
      </c>
      <c r="I39" s="2006" t="s">
        <v>1612</v>
      </c>
      <c r="L39" s="141" t="s">
        <v>1600</v>
      </c>
    </row>
    <row customHeight="1" ht="15">
      <c r="A40" s="1729" t="s">
        <v>111</v>
      </c>
      <c r="C40" s="82"/>
      <c r="D40" s="95"/>
      <c r="E40" s="190" t="s">
        <v>454</v>
      </c>
      <c r="F40" s="186"/>
      <c r="G40" s="186"/>
      <c r="H40" s="187"/>
      <c r="I40" s="2008"/>
    </row>
    <row s="4097" customFormat="1" customHeight="1" ht="3">
      <c r="A41" s="1729"/>
      <c r="K41" s="182"/>
      <c r="L41" s="182"/>
    </row>
    <row customHeight="1" ht="24.75">
      <c r="D42" s="1727" t="s">
        <v>510</v>
      </c>
      <c r="E42"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18"/>
      <c r="G42" s="2218"/>
      <c r="H42" s="2218"/>
      <c r="I42" s="2218"/>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4CBDD5-1553-2567-1EA9-214C7D0A0042}"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114" width="9.140625" hidden="1" customWidth="1"/>
    <col min="2" max="2" style="3520" width="9.140625" hidden="1" customWidth="1"/>
    <col min="3" max="3" style="3694" width="3.7109375" customWidth="1"/>
    <col min="4" max="4" style="4102" width="6.28125" customWidth="1"/>
    <col min="5" max="5" style="4102" width="38.140625" customWidth="1"/>
    <col min="6" max="7" style="4102" width="35.7109375" customWidth="1"/>
    <col min="8" max="8" style="4102" width="89.57421875" customWidth="1"/>
    <col min="9" max="9" style="4102" width="10.57421875"/>
    <col min="10" max="11" style="3523" width="10.57421875"/>
    <col min="12" max="17" style="4102" width="10.57421875"/>
  </cols>
  <sheetData>
    <row customHeight="1" ht="14.25" hidden="1">
      <c r="N1" s="241"/>
      <c r="O1" s="241"/>
      <c r="Q1" s="241"/>
    </row>
    <row s="2885" customFormat="1" customHeight="1" ht="18.75" hidden="1">
      <c r="A2" s="88"/>
      <c r="B2" s="1174"/>
      <c r="C2" s="1776" t="s">
        <v>121</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E5" s="2169"/>
      <c r="F5" s="2169"/>
      <c r="G5" s="2170"/>
      <c r="H5" s="252"/>
    </row>
    <row s="2885" customFormat="1" customHeight="1" ht="17.25">
      <c r="A6" s="1715"/>
      <c r="B6" s="1174"/>
      <c r="C6" s="377"/>
      <c r="D6" s="2171" t="str">
        <f>IF(org=0,"Не определено",org)</f>
        <v>МУП "Уссурийск-Водоканал"</v>
      </c>
      <c r="E6" s="2172"/>
      <c r="F6" s="2172"/>
      <c r="G6" s="2173"/>
      <c r="H6" s="252"/>
      <c r="J6" s="1670"/>
      <c r="K6" s="1670"/>
    </row>
    <row customHeight="1" ht="14.25">
      <c r="C7" s="377"/>
      <c r="D7" s="361"/>
      <c r="E7" s="395"/>
      <c r="F7" s="395"/>
      <c r="G7" s="762"/>
      <c r="H7" s="179"/>
    </row>
    <row customHeight="1" ht="14.25">
      <c r="C8" s="377"/>
      <c r="D8" s="2047" t="s">
        <v>293</v>
      </c>
      <c r="E8" s="2047"/>
      <c r="F8" s="2047"/>
      <c r="G8" s="2047"/>
      <c r="H8" s="2174" t="s">
        <v>294</v>
      </c>
    </row>
    <row customHeight="1" ht="14.25">
      <c r="C9" s="377"/>
      <c r="D9" s="392" t="s">
        <v>88</v>
      </c>
      <c r="E9" s="94" t="s">
        <v>295</v>
      </c>
      <c r="F9" s="94" t="s">
        <v>296</v>
      </c>
      <c r="G9" s="94" t="s">
        <v>385</v>
      </c>
      <c r="H9" s="2174"/>
    </row>
    <row customHeight="1" ht="14.25">
      <c r="A10" s="339"/>
      <c r="C10" s="377"/>
      <c r="D10" s="133" t="s">
        <v>109</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43"/>
      <c r="G10" s="199"/>
      <c r="H10" s="2006" t="s">
        <v>1613</v>
      </c>
    </row>
    <row customHeight="1" ht="14.25">
      <c r="A11" s="339"/>
      <c r="C11" s="377"/>
      <c r="D11" s="133" t="s">
        <v>110</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43"/>
      <c r="G11" s="199"/>
      <c r="H11" s="2007"/>
    </row>
    <row customHeight="1" ht="22.5">
      <c r="A12" s="88"/>
      <c r="C12" s="393"/>
      <c r="D12" s="133" t="s">
        <v>90</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22.5">
      <c r="A13" s="88"/>
      <c r="C13" s="393"/>
      <c r="D13" s="133" t="s">
        <v>91</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454</v>
      </c>
      <c r="F14" s="345"/>
      <c r="G14" s="187"/>
      <c r="H14" s="2008"/>
    </row>
    <row s="2885" customFormat="1" customHeight="1" ht="14.25">
      <c r="A15" s="339"/>
      <c r="B15" s="1174"/>
      <c r="C15" s="377"/>
      <c r="D15" s="402"/>
      <c r="E15" s="1723"/>
      <c r="F15" s="1724"/>
      <c r="G15" s="1725"/>
      <c r="H15" s="1726"/>
      <c r="J15" s="1670"/>
      <c r="K15" s="1670"/>
    </row>
    <row customHeight="1" ht="21.75">
      <c r="D16" s="1727" t="s">
        <v>510</v>
      </c>
      <c r="E16" s="2305" t="s">
        <v>1614</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BCB15-9CD8-9606-31A3-345F20C9FF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55602-1981-B856-18B2-B9E757EECF3F}" mc:Ignorable="x14ac xr xr2 xr3">
  <sheetPr>
    <tabColor theme="2" tint="-0.1"/>
  </sheetPr>
  <dimension ref="A1:Y29"/>
  <sheetViews>
    <sheetView topLeftCell="A1" showGridLines="0" zoomScale="90" workbookViewId="0">
      <selection activeCell="M8" sqref="M8"/>
    </sheetView>
  </sheetViews>
  <sheetFormatPr defaultColWidth="10.57421875" customHeight="1" defaultRowHeight="15"/>
  <cols>
    <col min="1" max="1" style="3088" width="9.140625" hidden="1" customWidth="1"/>
    <col min="2" max="2" style="3090" width="9.140625" hidden="1" customWidth="1"/>
    <col min="3" max="3" style="4169" width="4.7109375" customWidth="1"/>
    <col min="4" max="4" style="3090" width="6.28125" customWidth="1"/>
    <col min="5" max="5" style="3090" width="47.8515625" customWidth="1"/>
    <col min="6" max="6" style="3090" width="9.57421875" customWidth="1"/>
    <col min="7" max="7" style="2599" width="25.7109375" hidden="1" customWidth="1"/>
    <col min="8" max="8" style="2599" width="34.00390625" hidden="1" customWidth="1"/>
    <col min="9" max="9" style="3090" width="25.7109375" customWidth="1"/>
    <col min="10" max="10" style="3090" width="34.00390625" customWidth="1"/>
    <col min="11" max="11" style="4122" width="25.7109375" customWidth="1"/>
    <col min="12" max="12" style="4122" width="34.00390625" customWidth="1"/>
    <col min="13" max="13" style="4122" width="25.7109375" customWidth="1"/>
    <col min="14" max="14" style="4122" width="34.00390625" customWidth="1"/>
    <col min="15" max="15" style="2600" width="50.8515625" customWidth="1"/>
    <col min="16" max="24" style="3090" width="10.57421875"/>
    <col min="25" max="25" style="4126" width="10.57421875"/>
  </cols>
  <sheetData>
    <row s="2600" customFormat="1" customHeight="1" ht="15" hidden="1">
      <c r="C1" s="680"/>
      <c r="G1" s="424">
        <v>4</v>
      </c>
      <c r="I1" s="424">
        <v>4</v>
      </c>
      <c r="K1" s="4116">
        <v>4</v>
      </c>
      <c r="L1" s="4116"/>
      <c r="M1" s="4116">
        <v>4</v>
      </c>
      <c r="N1" s="4116"/>
      <c r="Y1" s="427"/>
    </row>
    <row s="2603" customFormat="1" customHeight="1" ht="15" hidden="1">
      <c r="A2" s="360"/>
      <c r="C2" s="162"/>
      <c r="D2" s="342"/>
      <c r="E2" s="681"/>
      <c r="F2" s="530"/>
      <c r="G2" s="624"/>
      <c r="H2" s="624"/>
      <c r="I2" s="624"/>
      <c r="J2" s="624"/>
      <c r="K2" s="4120"/>
      <c r="L2" s="4120"/>
      <c r="M2" s="4120"/>
      <c r="N2" s="4120"/>
      <c r="Y2" s="682"/>
    </row>
    <row s="2600" customFormat="1" customHeight="1" ht="15" hidden="1">
      <c r="C3" s="680"/>
      <c r="K3" s="4116"/>
      <c r="L3" s="4116"/>
      <c r="M3" s="4116"/>
      <c r="N3" s="4116"/>
      <c r="Y3" s="427"/>
    </row>
    <row customHeight="1" ht="15">
      <c r="C4" s="162"/>
      <c r="D4" s="517"/>
      <c r="E4" s="517"/>
      <c r="F4" s="517"/>
      <c r="G4" s="517"/>
      <c r="H4" s="517"/>
      <c r="I4" s="517"/>
      <c r="J4" s="517"/>
      <c r="K4" s="4122"/>
      <c r="L4" s="4122"/>
      <c r="M4" s="4122"/>
      <c r="N4" s="4122"/>
    </row>
    <row customHeight="1" ht="63">
      <c r="C5" s="162"/>
      <c r="D5" s="1996" t="s">
        <v>1615</v>
      </c>
      <c r="E5" s="1997"/>
      <c r="F5" s="1997"/>
      <c r="G5" s="1997"/>
      <c r="H5" s="1997"/>
      <c r="I5" s="1997"/>
      <c r="J5" s="1998"/>
      <c r="K5" s="4123"/>
      <c r="L5" s="4123"/>
      <c r="M5" s="4123"/>
      <c r="N5" s="4123"/>
    </row>
    <row customHeight="1" ht="15">
      <c r="C6" s="162"/>
      <c r="D6" s="2053" t="str">
        <f>IF(org=0,"Не определено",org)</f>
        <v>МУП "Уссурийск-Водоканал"</v>
      </c>
      <c r="E6" s="2054"/>
      <c r="F6" s="2054"/>
      <c r="G6" s="2054"/>
      <c r="H6" s="2054"/>
      <c r="I6" s="2054"/>
      <c r="J6" s="2055"/>
      <c r="K6" s="4124"/>
      <c r="L6" s="4124"/>
      <c r="M6" s="4124"/>
      <c r="N6" s="4124"/>
      <c r="O6" s="545"/>
    </row>
    <row customHeight="1" ht="15">
      <c r="C7" s="162"/>
      <c r="D7" s="762"/>
      <c r="E7" s="517"/>
      <c r="F7" s="517"/>
      <c r="G7" s="545">
        <v>22</v>
      </c>
      <c r="I7" s="545">
        <v>1</v>
      </c>
      <c r="J7" s="762"/>
      <c r="K7" s="4116" t="s">
        <v>18</v>
      </c>
      <c r="L7" s="4122"/>
      <c r="M7" s="4116" t="s">
        <v>18</v>
      </c>
      <c r="N7" s="4122"/>
    </row>
    <row s="2599" customFormat="1" customHeight="1" ht="0.75">
      <c r="A8" s="769"/>
      <c r="C8" s="162"/>
      <c r="D8" s="517"/>
      <c r="E8" s="517"/>
      <c r="F8" s="517"/>
      <c r="G8" s="545"/>
      <c r="H8" s="762"/>
      <c r="I8" s="545" t="s">
        <v>118</v>
      </c>
      <c r="J8" s="762"/>
      <c r="K8" s="4116" t="s">
        <v>123</v>
      </c>
      <c r="L8" s="4125"/>
      <c r="M8" s="4116" t="s">
        <v>126</v>
      </c>
      <c r="N8" s="4125"/>
      <c r="O8" s="424"/>
      <c r="Y8" s="683"/>
    </row>
    <row customHeight="1" ht="15">
      <c r="C9" s="162"/>
      <c r="D9" s="719"/>
      <c r="E9" s="2308" t="s">
        <v>105</v>
      </c>
      <c r="F9" s="2309"/>
      <c r="G9" s="2306" t="str">
        <f>IF(G8="","",INDEX(DIFFERENTIATION_UNMERGE_VD,MATCH(G8,DIFFERENTIATION_ID_DIFF,0)))</f>
        <v/>
      </c>
      <c r="H9" s="2307"/>
      <c r="I9" s="2306" t="str">
        <f>IF(I8="","",INDEX(DIFFERENTIATION_UNMERGE_VD,MATCH(I8,DIFFERENTIATION_ID_DIFF,0)))</f>
        <v>Водоотведение</v>
      </c>
      <c r="J9" s="2307"/>
      <c r="K9" s="4132" t="str">
        <f>IF(K8="","",INDEX(DIFFERENTIATION_UNMERGE_VD,MATCH(K8,DIFFERENTIATION_ID_DIFF,0)))</f>
        <v>Водоотведение</v>
      </c>
      <c r="L9" s="4133"/>
      <c r="M9" s="4132" t="str">
        <f>IF(M8="","",INDEX(DIFFERENTIATION_UNMERGE_VD,MATCH(M8,DIFFERENTIATION_ID_DIFF,0)))</f>
        <v>Подключение (технологическое присоединение) к централизованной системе водоотведения</v>
      </c>
      <c r="N9" s="4133"/>
      <c r="O9" s="2012" t="s">
        <v>294</v>
      </c>
    </row>
    <row s="2599" customFormat="1" customHeight="1" ht="15">
      <c r="A10" s="769"/>
      <c r="C10" s="162"/>
      <c r="D10" s="719"/>
      <c r="E10" s="2308" t="s">
        <v>418</v>
      </c>
      <c r="F10" s="2309"/>
      <c r="G10" s="2306" t="str">
        <f>IF(G8="","",INDEX(DIFFERENTIATION_UNMERGE_AREA,MATCH(G8,DIFFERENTIATION_ID_DIFF,0)))</f>
        <v/>
      </c>
      <c r="H10" s="2307"/>
      <c r="I10" s="2306" t="str">
        <f>IF(I8="","",INDEX(DIFFERENTIATION_UNMERGE_AREA,MATCH(I8,DIFFERENTIATION_ID_DIFF,0)))</f>
        <v>без дифференциации</v>
      </c>
      <c r="J10" s="2307"/>
      <c r="K10" s="4132" t="str">
        <f>IF(K8="","",INDEX(DIFFERENTIATION_UNMERGE_AREA,MATCH(K8,DIFFERENTIATION_ID_DIFF,0)))</f>
        <v>без дифференциации</v>
      </c>
      <c r="L10" s="4133"/>
      <c r="M10" s="4132" t="str">
        <f>IF(M8="","",INDEX(DIFFERENTIATION_UNMERGE_AREA,MATCH(M8,DIFFERENTIATION_ID_DIFF,0)))</f>
        <v>без дифференциации</v>
      </c>
      <c r="N10" s="4133"/>
      <c r="O10" s="2036"/>
      <c r="Y10" s="683"/>
    </row>
    <row s="2599" customFormat="1" customHeight="1" ht="15">
      <c r="A11" s="769"/>
      <c r="C11" s="162"/>
      <c r="D11" s="719"/>
      <c r="E11" s="2308" t="s">
        <v>419</v>
      </c>
      <c r="F11" s="2309"/>
      <c r="G11" s="2306" t="str">
        <f>IF(G8="","",INDEX(DIFFERENTIATION_UNMERGE_SYSTEM,MATCH(G8,DIFFERENTIATION_ID_DIFF,0)))</f>
        <v/>
      </c>
      <c r="H11" s="2307"/>
      <c r="I11" s="2306" t="str">
        <f>IF(I8="","",INDEX(DIFFERENTIATION_UNMERGE_SYSTEM,MATCH(I8,DIFFERENTIATION_ID_DIFF,0)))</f>
        <v>Уссурийский  городской  округ</v>
      </c>
      <c r="J11" s="2307"/>
      <c r="K11" s="4132" t="str">
        <f>IF(K8="","",INDEX(DIFFERENTIATION_UNMERGE_SYSTEM,MATCH(K8,DIFFERENTIATION_ID_DIFF,0)))</f>
        <v>ООО " Промышленный  парк  Уссурийский " и  ООО                   "АльянсГрупп"</v>
      </c>
      <c r="L11" s="4133"/>
      <c r="M11" s="4132" t="str">
        <f>IF(M8="","",INDEX(DIFFERENTIATION_UNMERGE_SYSTEM,MATCH(M8,DIFFERENTIATION_ID_DIFF,0)))</f>
        <v>без дифференциации</v>
      </c>
      <c r="N11" s="4133"/>
      <c r="O11" s="2036"/>
      <c r="Y11" s="683"/>
    </row>
    <row s="2599" customFormat="1" customHeight="1" ht="15">
      <c r="A12" s="769"/>
      <c r="C12" s="162"/>
      <c r="D12" s="2310" t="s">
        <v>293</v>
      </c>
      <c r="E12" s="2311"/>
      <c r="F12" s="2311"/>
      <c r="G12" s="898"/>
      <c r="H12" s="898"/>
      <c r="I12" s="898"/>
      <c r="J12" s="898"/>
      <c r="K12" s="4137"/>
      <c r="L12" s="4137"/>
      <c r="M12" s="4137"/>
      <c r="N12" s="4137"/>
      <c r="O12" s="2036"/>
      <c r="Y12" s="683"/>
    </row>
    <row customHeight="1" ht="33.75">
      <c r="C13" s="162"/>
      <c r="D13" s="815" t="s">
        <v>88</v>
      </c>
      <c r="E13" s="817" t="s">
        <v>295</v>
      </c>
      <c r="F13" s="817" t="s">
        <v>1616</v>
      </c>
      <c r="G13" s="818" t="s">
        <v>296</v>
      </c>
      <c r="H13" s="817" t="s">
        <v>385</v>
      </c>
      <c r="I13" s="818" t="s">
        <v>296</v>
      </c>
      <c r="J13" s="817" t="s">
        <v>385</v>
      </c>
      <c r="K13" s="4141" t="s">
        <v>296</v>
      </c>
      <c r="L13" s="4142" t="s">
        <v>385</v>
      </c>
      <c r="M13" s="4141" t="s">
        <v>296</v>
      </c>
      <c r="N13" s="4142" t="s">
        <v>385</v>
      </c>
      <c r="O13" s="2071"/>
    </row>
    <row customHeight="1" ht="15" hidden="1">
      <c r="C14" s="162"/>
      <c r="D14" s="601" t="s">
        <v>109</v>
      </c>
      <c r="E14" s="601" t="s">
        <v>110</v>
      </c>
      <c r="F14" s="601" t="s">
        <v>90</v>
      </c>
      <c r="G14" s="667" t="str">
        <f>G1&amp;".1"</f>
        <v>4.1</v>
      </c>
      <c r="H14" s="667"/>
      <c r="I14" s="667" t="str">
        <f>I1&amp;".1"</f>
        <v>4.1</v>
      </c>
      <c r="J14" s="667"/>
      <c r="K14" s="4144" t="str">
        <f>K1&amp;".1"</f>
        <v>4.1</v>
      </c>
      <c r="L14" s="4144"/>
      <c r="M14" s="4144" t="str">
        <f>M1&amp;".1"</f>
        <v>4.1</v>
      </c>
      <c r="N14" s="4144"/>
      <c r="O14" s="277"/>
    </row>
    <row customHeight="1" ht="22.5" hidden="1">
      <c r="A15" s="513"/>
      <c r="C15" s="534"/>
      <c r="D15" s="529">
        <v>1</v>
      </c>
      <c r="E15" s="685" t="s">
        <v>1617</v>
      </c>
      <c r="F15" s="529" t="s">
        <v>1618</v>
      </c>
      <c r="G15" s="686"/>
      <c r="H15" s="686"/>
      <c r="I15" s="686"/>
      <c r="J15" s="686"/>
      <c r="K15" s="4148"/>
      <c r="L15" s="4148"/>
      <c r="M15" s="4148"/>
      <c r="N15" s="4148"/>
      <c r="O15" s="277" t="s">
        <v>1619</v>
      </c>
    </row>
    <row customHeight="1" ht="22.5" hidden="1">
      <c r="A16" s="513"/>
      <c r="C16" s="534"/>
      <c r="D16" s="529">
        <v>2</v>
      </c>
      <c r="E16" s="267" t="s">
        <v>1620</v>
      </c>
      <c r="F16" s="529" t="s">
        <v>1621</v>
      </c>
      <c r="G16" s="686"/>
      <c r="H16" s="686"/>
      <c r="I16" s="686"/>
      <c r="J16" s="686"/>
      <c r="K16" s="4148"/>
      <c r="L16" s="4148"/>
      <c r="M16" s="4148"/>
      <c r="N16" s="4148"/>
      <c r="O16" s="277" t="s">
        <v>1622</v>
      </c>
    </row>
    <row customHeight="1" ht="123.75" hidden="1">
      <c r="A17" s="513"/>
      <c r="C17" s="534"/>
      <c r="D17" s="529">
        <v>3</v>
      </c>
      <c r="E17" s="267" t="s">
        <v>1623</v>
      </c>
      <c r="F17" s="529" t="s">
        <v>299</v>
      </c>
      <c r="G17" s="686"/>
      <c r="H17" s="686"/>
      <c r="I17" s="686"/>
      <c r="J17" s="686"/>
      <c r="K17" s="4148"/>
      <c r="L17" s="4148"/>
      <c r="M17" s="4148"/>
      <c r="N17" s="4148"/>
      <c r="O17" s="277" t="s">
        <v>1624</v>
      </c>
    </row>
    <row customHeight="1" ht="45">
      <c r="A18" s="513"/>
      <c r="C18" s="534"/>
      <c r="D18" s="529">
        <v>4</v>
      </c>
      <c r="E18" s="267" t="s">
        <v>1625</v>
      </c>
      <c r="F18" s="529" t="s">
        <v>299</v>
      </c>
      <c r="G18" s="819" t="s">
        <v>299</v>
      </c>
      <c r="H18" s="820" t="s">
        <v>299</v>
      </c>
      <c r="I18" s="529" t="s">
        <v>299</v>
      </c>
      <c r="J18" s="586" t="s">
        <v>299</v>
      </c>
      <c r="K18" s="4142" t="s">
        <v>299</v>
      </c>
      <c r="L18" s="4153" t="s">
        <v>299</v>
      </c>
      <c r="M18" s="4142" t="s">
        <v>299</v>
      </c>
      <c r="N18" s="4153" t="s">
        <v>299</v>
      </c>
      <c r="O18" s="277" t="s">
        <v>1626</v>
      </c>
    </row>
    <row customHeight="1" ht="33.75">
      <c r="A19" s="513"/>
      <c r="C19" s="534"/>
      <c r="D19" s="547" t="s">
        <v>1466</v>
      </c>
      <c r="E19" s="567" t="s">
        <v>1627</v>
      </c>
      <c r="F19" s="529" t="s">
        <v>1628</v>
      </c>
      <c r="G19" s="827"/>
      <c r="H19" s="92"/>
      <c r="I19" s="827"/>
      <c r="J19" s="828"/>
      <c r="K19" s="4159"/>
      <c r="L19" s="4160"/>
      <c r="M19" s="4159"/>
      <c r="N19" s="4160"/>
      <c r="O19" s="687"/>
    </row>
    <row customHeight="1" ht="33.75">
      <c r="A20" s="513"/>
      <c r="C20" s="534"/>
      <c r="D20" s="547" t="s">
        <v>1483</v>
      </c>
      <c r="E20" s="567" t="s">
        <v>1629</v>
      </c>
      <c r="F20" s="529" t="s">
        <v>1630</v>
      </c>
      <c r="G20" s="827"/>
      <c r="H20" s="92"/>
      <c r="I20" s="827"/>
      <c r="J20" s="92"/>
      <c r="K20" s="4159"/>
      <c r="L20" s="4160"/>
      <c r="M20" s="4159"/>
      <c r="N20" s="4160"/>
      <c r="O20" s="687"/>
    </row>
    <row customHeight="1" ht="45">
      <c r="A21" s="513"/>
      <c r="C21" s="534"/>
      <c r="D21" s="547" t="s">
        <v>1631</v>
      </c>
      <c r="E21" s="567" t="s">
        <v>1632</v>
      </c>
      <c r="F21" s="529" t="s">
        <v>1245</v>
      </c>
      <c r="G21" s="688"/>
      <c r="H21" s="92"/>
      <c r="I21" s="688"/>
      <c r="J21" s="92"/>
      <c r="K21" s="4163"/>
      <c r="L21" s="4160"/>
      <c r="M21" s="4163"/>
      <c r="N21" s="4160"/>
      <c r="O21" s="687"/>
    </row>
    <row customHeight="1" ht="67.5" hidden="1">
      <c r="A22" s="513"/>
      <c r="C22" s="534"/>
      <c r="D22" s="529">
        <v>5</v>
      </c>
      <c r="E22" s="267" t="s">
        <v>1633</v>
      </c>
      <c r="F22" s="529" t="s">
        <v>1634</v>
      </c>
      <c r="G22" s="689"/>
      <c r="H22" s="690"/>
      <c r="I22" s="689"/>
      <c r="J22" s="690"/>
      <c r="K22" s="4166"/>
      <c r="L22" s="4167"/>
      <c r="M22" s="4166"/>
      <c r="N22" s="4167"/>
      <c r="O22" s="277" t="s">
        <v>1635</v>
      </c>
    </row>
    <row customHeight="1" ht="33.75" hidden="1">
      <c r="C23" s="459"/>
      <c r="D23" s="529">
        <v>6</v>
      </c>
      <c r="E23" s="267" t="s">
        <v>1636</v>
      </c>
      <c r="F23" s="529" t="s">
        <v>1637</v>
      </c>
      <c r="G23" s="689"/>
      <c r="H23" s="689"/>
      <c r="I23" s="689"/>
      <c r="J23" s="689"/>
      <c r="K23" s="4166"/>
      <c r="L23" s="4166"/>
      <c r="M23" s="4166"/>
      <c r="N23" s="4166"/>
      <c r="O23" s="277" t="s">
        <v>1638</v>
      </c>
    </row>
    <row customHeight="1" ht="15">
      <c r="K24" s="4122"/>
      <c r="L24" s="4122"/>
      <c r="M24" s="4122"/>
      <c r="N24" s="4122"/>
    </row>
    <row customHeight="1" ht="15">
      <c r="K25" s="4122"/>
      <c r="L25" s="4122"/>
      <c r="M25" s="4122"/>
      <c r="N25" s="4122"/>
    </row>
    <row customHeight="1" ht="15">
      <c r="K26" s="4122"/>
      <c r="L26" s="4122"/>
      <c r="M26" s="4122"/>
      <c r="N26" s="4122"/>
    </row>
    <row customHeight="1" ht="15">
      <c r="K27" s="4122"/>
      <c r="L27" s="4122"/>
      <c r="M27" s="4122"/>
      <c r="N27" s="4122"/>
    </row>
    <row customHeight="1" ht="15">
      <c r="K28" s="4122"/>
      <c r="L28" s="4122"/>
      <c r="M28" s="4122"/>
      <c r="N28" s="4122"/>
    </row>
    <row customHeight="1" ht="15">
      <c r="J29" s="829"/>
      <c r="K29" s="4122"/>
      <c r="L29" s="4122"/>
      <c r="M29" s="4122"/>
      <c r="N29" s="4122"/>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decimal" allowBlank="1" showErrorMessage="1" errorTitle="Ошибка" error="Допускается ввод только неотрицательных чисел!" sqref="G21 I21 K21 M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F7B2F-EF05-75BA-13B1-1E1A92B7264E}" mc:Ignorable="x14ac xr xr2 xr3">
  <sheetPr>
    <tabColor theme="2" tint="-0.1"/>
  </sheetPr>
  <dimension ref="A1:T22"/>
  <sheetViews>
    <sheetView topLeftCell="A1" showGridLines="0" zoomScale="90" workbookViewId="0">
      <selection activeCell="J8" sqref="J8"/>
    </sheetView>
  </sheetViews>
  <sheetFormatPr defaultColWidth="10.57421875" customHeight="1" defaultRowHeight="15"/>
  <cols>
    <col min="1" max="1" style="3088" width="9.140625" hidden="1" customWidth="1"/>
    <col min="2" max="2" style="3090" width="9.140625" hidden="1" customWidth="1"/>
    <col min="3" max="3" style="4169" width="4.7109375" customWidth="1"/>
    <col min="4" max="4" style="3090" width="6.28125" customWidth="1"/>
    <col min="5" max="5" style="3090" width="36.7109375" customWidth="1"/>
    <col min="6" max="6" style="3090" width="9.57421875" customWidth="1"/>
    <col min="7" max="7" style="2599" width="42.421875" hidden="1" customWidth="1"/>
    <col min="8" max="8" style="3090" width="40.7109375" customWidth="1"/>
    <col min="9" max="10" style="4122" width="42.421875" customWidth="1"/>
    <col min="11" max="11" style="2600" width="93.421875" customWidth="1"/>
    <col min="12" max="19" style="3090" width="10.57421875"/>
    <col min="20" max="20" style="4126" width="10.57421875"/>
  </cols>
  <sheetData>
    <row s="2600" customFormat="1" customHeight="1" ht="15" hidden="1">
      <c r="C1" s="680"/>
      <c r="H1" s="424">
        <v>4</v>
      </c>
      <c r="I1" s="4116"/>
      <c r="J1" s="4116"/>
      <c r="T1" s="427"/>
    </row>
    <row customHeight="1" ht="22.5" hidden="1">
      <c r="D2" s="547"/>
      <c r="E2" s="671"/>
      <c r="F2" s="1807" t="str">
        <f>IF(TEMPLATE_SPHERE="HEAT","Гкал/час","тыс. куб. м/сутки")</f>
        <v>тыс. куб. м/сутки</v>
      </c>
      <c r="G2" s="688"/>
      <c r="H2" s="688"/>
      <c r="I2" s="4163"/>
      <c r="J2" s="4163"/>
      <c r="K2" s="277"/>
    </row>
    <row s="2600" customFormat="1" customHeight="1" ht="15" hidden="1">
      <c r="C3" s="680"/>
      <c r="I3" s="4116"/>
      <c r="J3" s="4116"/>
      <c r="T3" s="427"/>
    </row>
    <row customHeight="1" ht="15">
      <c r="C4" s="162"/>
      <c r="D4" s="517"/>
      <c r="E4" s="517"/>
      <c r="F4" s="517"/>
      <c r="G4" s="517"/>
      <c r="H4" s="517"/>
      <c r="I4" s="4122"/>
      <c r="J4" s="4122"/>
    </row>
    <row customHeight="1" ht="47.25">
      <c r="C5" s="162"/>
      <c r="D5" s="2312"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12"/>
      <c r="F5" s="2312"/>
      <c r="G5" s="2312"/>
      <c r="H5" s="2312"/>
      <c r="I5" s="4173"/>
      <c r="J5" s="4173"/>
      <c r="K5" s="545"/>
    </row>
    <row customHeight="1" ht="15">
      <c r="C6" s="162"/>
      <c r="D6" s="2049" t="str">
        <f>IF(org=0,"Не определено",org)</f>
        <v>МУП "Уссурийск-Водоканал"</v>
      </c>
      <c r="E6" s="2049"/>
      <c r="F6" s="2049"/>
      <c r="G6" s="2049"/>
      <c r="H6" s="2049"/>
      <c r="I6" s="4174"/>
      <c r="J6" s="4174"/>
      <c r="K6" s="545"/>
    </row>
    <row s="2599" customFormat="1" customHeight="1" ht="15">
      <c r="A7" s="769"/>
      <c r="C7" s="162"/>
      <c r="D7" s="684"/>
      <c r="E7" s="684"/>
      <c r="F7" s="684"/>
      <c r="G7" s="684"/>
      <c r="H7" s="762"/>
      <c r="I7" s="4176" t="s">
        <v>18</v>
      </c>
      <c r="J7" s="4176" t="s">
        <v>18</v>
      </c>
      <c r="K7" s="545"/>
      <c r="T7" s="683"/>
    </row>
    <row customHeight="1" ht="0.75">
      <c r="C8" s="162"/>
      <c r="D8" s="517"/>
      <c r="E8" s="517"/>
      <c r="F8" s="517"/>
      <c r="G8" s="517"/>
      <c r="H8" s="545" t="s">
        <v>118</v>
      </c>
      <c r="I8" s="4122" t="s">
        <v>123</v>
      </c>
      <c r="J8" s="4122" t="s">
        <v>126</v>
      </c>
    </row>
    <row customHeight="1" ht="15">
      <c r="C9" s="162"/>
      <c r="D9" s="719"/>
      <c r="E9" s="2308" t="s">
        <v>105</v>
      </c>
      <c r="F9" s="2309"/>
      <c r="G9" s="826" t="str">
        <f>IF(G8="","",INDEX(DIFFERENTIATION_UNMERGE_VD,MATCH(G8,DIFFERENTIATION_ID_DIFF,0)))</f>
        <v/>
      </c>
      <c r="H9" s="826" t="str">
        <f>IF(H8="","",INDEX(DIFFERENTIATION_UNMERGE_VD,MATCH(H8,DIFFERENTIATION_ID_DIFF,0)))</f>
        <v>Водоотведение</v>
      </c>
      <c r="I9" s="4132" t="str">
        <f>IF(I8="","",INDEX(DIFFERENTIATION_UNMERGE_VD,MATCH(I8,DIFFERENTIATION_ID_DIFF,0)))</f>
        <v>Водоотведение</v>
      </c>
      <c r="J9" s="4132" t="str">
        <f>IF(J8="","",INDEX(DIFFERENTIATION_UNMERGE_VD,MATCH(J8,DIFFERENTIATION_ID_DIFF,0)))</f>
        <v>Подключение (технологическое присоединение) к централизованной системе водоотведения</v>
      </c>
      <c r="K9" s="1966" t="s">
        <v>294</v>
      </c>
    </row>
    <row s="2599" customFormat="1" customHeight="1" ht="15">
      <c r="A10" s="769"/>
      <c r="C10" s="162"/>
      <c r="D10" s="719"/>
      <c r="E10" s="2308" t="s">
        <v>418</v>
      </c>
      <c r="F10" s="2309"/>
      <c r="G10" s="826" t="str">
        <f>IF(G8="","",INDEX(DIFFERENTIATION_UNMERGE_AREA,MATCH(G8,DIFFERENTIATION_ID_DIFF,0)))</f>
        <v/>
      </c>
      <c r="H10" s="826" t="str">
        <f>IF(H8="","",INDEX(DIFFERENTIATION_UNMERGE_AREA,MATCH(H8,DIFFERENTIATION_ID_DIFF,0)))</f>
        <v>без дифференциации</v>
      </c>
      <c r="I10" s="4132" t="str">
        <f>IF(I8="","",INDEX(DIFFERENTIATION_UNMERGE_AREA,MATCH(I8,DIFFERENTIATION_ID_DIFF,0)))</f>
        <v>без дифференциации</v>
      </c>
      <c r="J10" s="4132" t="str">
        <f>IF(J8="","",INDEX(DIFFERENTIATION_UNMERGE_AREA,MATCH(J8,DIFFERENTIATION_ID_DIFF,0)))</f>
        <v>без дифференциации</v>
      </c>
      <c r="K10" s="1966"/>
      <c r="T10" s="683"/>
    </row>
    <row s="2599" customFormat="1" customHeight="1" ht="15">
      <c r="A11" s="769"/>
      <c r="C11" s="162"/>
      <c r="D11" s="719"/>
      <c r="E11" s="2308" t="s">
        <v>419</v>
      </c>
      <c r="F11" s="2309"/>
      <c r="G11" s="826" t="str">
        <f>IF(G8="","",INDEX(DIFFERENTIATION_UNMERGE_SYSTEM,MATCH(G8,DIFFERENTIATION_ID_DIFF,0)))</f>
        <v/>
      </c>
      <c r="H11" s="826" t="str">
        <f>IF(H8="","",INDEX(DIFFERENTIATION_UNMERGE_SYSTEM,MATCH(H8,DIFFERENTIATION_ID_DIFF,0)))</f>
        <v>Уссурийский  городской  округ</v>
      </c>
      <c r="I11" s="4132" t="str">
        <f>IF(I8="","",INDEX(DIFFERENTIATION_UNMERGE_SYSTEM,MATCH(I8,DIFFERENTIATION_ID_DIFF,0)))</f>
        <v>ООО " Промышленный  парк  Уссурийский " и  ООО                   "АльянсГрупп"</v>
      </c>
      <c r="J11" s="4132" t="str">
        <f>IF(J8="","",INDEX(DIFFERENTIATION_UNMERGE_SYSTEM,MATCH(J8,DIFFERENTIATION_ID_DIFF,0)))</f>
        <v>без дифференциации</v>
      </c>
      <c r="K11" s="1966"/>
      <c r="T11" s="683"/>
    </row>
    <row s="2599" customFormat="1" customHeight="1" ht="15">
      <c r="A12" s="769"/>
      <c r="C12" s="162"/>
      <c r="D12" s="2310" t="s">
        <v>293</v>
      </c>
      <c r="E12" s="2311"/>
      <c r="F12" s="2311"/>
      <c r="G12" s="898"/>
      <c r="H12" s="898"/>
      <c r="I12" s="4137"/>
      <c r="J12" s="4137"/>
      <c r="K12" s="1966"/>
      <c r="T12" s="683"/>
    </row>
    <row customHeight="1" ht="33.75">
      <c r="C13" s="162"/>
      <c r="D13" s="771" t="s">
        <v>88</v>
      </c>
      <c r="E13" s="770" t="s">
        <v>295</v>
      </c>
      <c r="F13" s="770" t="s">
        <v>1616</v>
      </c>
      <c r="G13" s="818" t="s">
        <v>296</v>
      </c>
      <c r="H13" s="764" t="s">
        <v>296</v>
      </c>
      <c r="I13" s="4141" t="s">
        <v>296</v>
      </c>
      <c r="J13" s="4141" t="s">
        <v>296</v>
      </c>
      <c r="K13" s="1966"/>
    </row>
    <row customHeight="1" ht="15" hidden="1">
      <c r="C14" s="162"/>
      <c r="D14" s="601" t="s">
        <v>109</v>
      </c>
      <c r="E14" s="601" t="s">
        <v>110</v>
      </c>
      <c r="F14" s="601" t="s">
        <v>90</v>
      </c>
      <c r="G14" s="667" t="str">
        <f>G1&amp;".1"</f>
        <v>.1</v>
      </c>
      <c r="H14" s="667" t="str">
        <f>H1&amp;".1"</f>
        <v>4.1</v>
      </c>
      <c r="I14" s="4144" t="str">
        <f>I1&amp;".1"</f>
        <v>.1</v>
      </c>
      <c r="J14" s="4144" t="str">
        <f>J1&amp;".1"</f>
        <v>.1</v>
      </c>
      <c r="K14" s="277"/>
    </row>
    <row customHeight="1" ht="15">
      <c r="A15" s="513"/>
      <c r="C15" s="534"/>
      <c r="D15" s="529">
        <v>1</v>
      </c>
      <c r="E15" s="685" t="str">
        <f>TP_P_A</f>
        <v>Количество поданных заявлений </v>
      </c>
      <c r="F15" s="529" t="s">
        <v>1639</v>
      </c>
      <c r="G15" s="693"/>
      <c r="H15" s="693"/>
      <c r="I15" s="4182"/>
      <c r="J15" s="4182"/>
      <c r="K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13"/>
      <c r="C16" s="534"/>
      <c r="D16" s="529">
        <v>2</v>
      </c>
      <c r="E16" s="267" t="str">
        <f>TP_P_B</f>
        <v>Количество исполненных заявлений </v>
      </c>
      <c r="F16" s="529" t="s">
        <v>1639</v>
      </c>
      <c r="G16" s="693"/>
      <c r="H16" s="693"/>
      <c r="I16" s="4182"/>
      <c r="J16" s="4182"/>
      <c r="K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13"/>
      <c r="C17" s="534"/>
      <c r="D17" s="529">
        <v>3</v>
      </c>
      <c r="E17" s="267" t="str">
        <f>TP_P_V</f>
        <v>Количество заявлений о заключении договоров о подключении (технологическом присоединении)</v>
      </c>
      <c r="F17" s="529" t="s">
        <v>1639</v>
      </c>
      <c r="G17" s="693"/>
      <c r="H17" s="693"/>
      <c r="I17" s="4182"/>
      <c r="J17" s="4182"/>
      <c r="K17" s="19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централизованной системе водоотведения</v>
      </c>
      <c r="F18" s="529" t="s">
        <v>299</v>
      </c>
      <c r="G18" s="694"/>
      <c r="H18" s="694"/>
      <c r="I18" s="4184"/>
      <c r="J18" s="4184"/>
      <c r="K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9" t="str">
        <f>IF(TEMPLATE_SPHERE="HEAT","Гкал/час","тыс. куб. м/сутки")</f>
        <v>тыс. куб. м/сутки</v>
      </c>
      <c r="G19" s="695">
        <f>SUM(G20:G22)</f>
        <v>0</v>
      </c>
      <c r="H19" s="695">
        <f>SUM(H20:H22)</f>
        <v>0</v>
      </c>
      <c r="I19" s="4187">
        <f>SUM(I20:I22)</f>
        <v>0</v>
      </c>
      <c r="J19" s="4187">
        <f>SUM(J20:J22)</f>
        <v>0</v>
      </c>
      <c r="K19" s="19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17" t="s">
        <v>1640</v>
      </c>
      <c r="E20" s="696"/>
      <c r="F20" s="517"/>
      <c r="G20" s="517"/>
      <c r="H20" s="517"/>
      <c r="I20" s="4122"/>
      <c r="J20" s="4122"/>
      <c r="K20" s="1809"/>
    </row>
    <row customHeight="1" ht="27.75">
      <c r="C21" s="459"/>
      <c r="D21" s="547" t="s">
        <v>308</v>
      </c>
      <c r="E21" s="678"/>
      <c r="F21" s="1807" t="str">
        <f>IF(TEMPLATE_SPHERE="HEAT","Гкал/час","тыс. куб. м/сутки")</f>
        <v>тыс. куб. м/сутки</v>
      </c>
      <c r="G21" s="688"/>
      <c r="H21" s="688"/>
      <c r="I21" s="4163"/>
      <c r="J21" s="4163"/>
      <c r="K21" s="2006"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13"/>
      <c r="C22" s="513"/>
      <c r="D22" s="343"/>
      <c r="E22" s="588" t="s">
        <v>1641</v>
      </c>
      <c r="F22" s="580"/>
      <c r="G22" s="580"/>
      <c r="H22" s="580"/>
      <c r="I22" s="4190"/>
      <c r="J22" s="4191"/>
      <c r="K22" s="2008"/>
      <c r="T22" s="513"/>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неотрицательных чисел!" sqref="G21:J21 G2:J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J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54325-53EB-3D69-7294-4AE625D1CE86}" mc:Ignorable="x14ac xr xr2 xr3">
  <sheetPr>
    <tabColor rgb="FFDDD9C4"/>
  </sheetPr>
  <dimension ref="A1:Y39"/>
  <sheetViews>
    <sheetView topLeftCell="A1" showGridLines="0" zoomScale="90" workbookViewId="0">
      <selection activeCell="M25" sqref="M25"/>
    </sheetView>
  </sheetViews>
  <sheetFormatPr defaultColWidth="10.57421875" customHeight="1" defaultRowHeight="15"/>
  <cols>
    <col min="1" max="1" style="3088" width="9.140625" hidden="1" customWidth="1"/>
    <col min="2" max="2" style="3090" width="9.140625" hidden="1" customWidth="1"/>
    <col min="3" max="3" style="4169" width="4.7109375" customWidth="1"/>
    <col min="4" max="4" style="3090" width="6.28125" customWidth="1"/>
    <col min="5" max="5" style="3090" width="36.7109375" customWidth="1"/>
    <col min="6" max="6" style="3090" width="9.57421875" customWidth="1"/>
    <col min="7" max="7" style="2599" width="25.7109375" hidden="1" customWidth="1"/>
    <col min="8" max="8" style="2599" width="33.7109375" hidden="1" customWidth="1"/>
    <col min="9" max="9" style="3090" width="25.7109375" customWidth="1"/>
    <col min="10" max="10" style="3090" width="33.7109375" customWidth="1"/>
    <col min="11" max="11" style="4122" width="25.7109375" customWidth="1"/>
    <col min="12" max="12" style="4122" width="33.7109375" customWidth="1"/>
    <col min="13" max="13" style="4122" width="25.7109375" customWidth="1"/>
    <col min="14" max="14" style="4122" width="33.7109375" customWidth="1"/>
    <col min="15" max="15" style="2600" width="93.421875" customWidth="1"/>
    <col min="16" max="24" style="3090" width="10.57421875"/>
    <col min="25" max="25" style="4126" width="10.57421875"/>
  </cols>
  <sheetData>
    <row s="2600" customFormat="1" customHeight="1" ht="15" hidden="1">
      <c r="C1" s="680"/>
      <c r="G1" s="424">
        <v>4</v>
      </c>
      <c r="I1" s="424">
        <v>4</v>
      </c>
      <c r="K1" s="4116">
        <v>4</v>
      </c>
      <c r="L1" s="4116"/>
      <c r="M1" s="4116">
        <v>4</v>
      </c>
      <c r="N1" s="4116"/>
      <c r="Y1" s="427"/>
    </row>
    <row s="2600" customFormat="1" customHeight="1" ht="15" hidden="1">
      <c r="C2" s="680"/>
      <c r="K2" s="4116"/>
      <c r="L2" s="4116"/>
      <c r="M2" s="4116"/>
      <c r="N2" s="4116"/>
      <c r="Y2" s="427"/>
    </row>
    <row customHeight="1" ht="22.5" hidden="1">
      <c r="A3" s="513"/>
      <c r="B3" s="2313"/>
      <c r="C3" s="2314"/>
      <c r="D3" s="697" t="str">
        <f>B3&amp;".1"</f>
        <v>.1</v>
      </c>
      <c r="E3" s="698" t="s">
        <v>1642</v>
      </c>
      <c r="F3" s="699" t="s">
        <v>299</v>
      </c>
      <c r="G3" s="694"/>
      <c r="H3" s="408"/>
      <c r="I3" s="694"/>
      <c r="J3" s="408"/>
      <c r="K3" s="4184"/>
      <c r="L3" s="4198"/>
      <c r="M3" s="4184"/>
      <c r="N3" s="4198"/>
      <c r="O3" s="277" t="s">
        <v>1643</v>
      </c>
    </row>
    <row customHeight="1" ht="15" hidden="1">
      <c r="A4" s="513"/>
      <c r="B4" s="2313"/>
      <c r="C4" s="2314"/>
      <c r="D4" s="697" t="str">
        <f>B3&amp;".2"</f>
        <v>.2</v>
      </c>
      <c r="E4" s="698" t="s">
        <v>1644</v>
      </c>
      <c r="F4" s="699" t="s">
        <v>299</v>
      </c>
      <c r="G4" s="1784" t="s">
        <v>18</v>
      </c>
      <c r="H4" s="408"/>
      <c r="I4" s="1784" t="s">
        <v>18</v>
      </c>
      <c r="J4" s="408"/>
      <c r="K4" s="4200" t="s">
        <v>18</v>
      </c>
      <c r="L4" s="4198"/>
      <c r="M4" s="4200" t="s">
        <v>18</v>
      </c>
      <c r="N4" s="4198"/>
      <c r="O4" s="277" t="s">
        <v>1645</v>
      </c>
    </row>
    <row s="2600" customFormat="1" customHeight="1" ht="15" hidden="1">
      <c r="C5" s="680"/>
      <c r="K5" s="4116"/>
      <c r="L5" s="4116"/>
      <c r="M5" s="4116"/>
      <c r="N5" s="4116"/>
      <c r="Y5" s="427"/>
    </row>
    <row customHeight="1" ht="22.5" hidden="1">
      <c r="A6" s="513"/>
      <c r="B6" s="2313"/>
      <c r="C6" s="2314"/>
      <c r="D6" s="697" t="str">
        <f>B6&amp;".1"</f>
        <v>.1</v>
      </c>
      <c r="E6" s="698" t="s">
        <v>1646</v>
      </c>
      <c r="F6" s="699" t="s">
        <v>299</v>
      </c>
      <c r="G6" s="694"/>
      <c r="H6" s="408"/>
      <c r="I6" s="694"/>
      <c r="J6" s="408"/>
      <c r="K6" s="4184"/>
      <c r="L6" s="4198"/>
      <c r="M6" s="4184"/>
      <c r="N6" s="4198"/>
      <c r="O6" s="277" t="s">
        <v>1647</v>
      </c>
    </row>
    <row customHeight="1" ht="15" hidden="1">
      <c r="A7" s="513"/>
      <c r="B7" s="2313"/>
      <c r="C7" s="2314"/>
      <c r="D7" s="697" t="str">
        <f>B6&amp;".2"</f>
        <v>.2</v>
      </c>
      <c r="E7" s="698" t="s">
        <v>1644</v>
      </c>
      <c r="F7" s="699" t="s">
        <v>299</v>
      </c>
      <c r="G7" s="1784" t="s">
        <v>18</v>
      </c>
      <c r="H7" s="408"/>
      <c r="I7" s="1784" t="s">
        <v>18</v>
      </c>
      <c r="J7" s="408"/>
      <c r="K7" s="4200" t="s">
        <v>18</v>
      </c>
      <c r="L7" s="4198"/>
      <c r="M7" s="4200" t="s">
        <v>18</v>
      </c>
      <c r="N7" s="4198"/>
      <c r="O7" s="277" t="s">
        <v>1645</v>
      </c>
    </row>
    <row s="2600" customFormat="1" customHeight="1" ht="15" hidden="1">
      <c r="C8" s="680"/>
      <c r="K8" s="4116"/>
      <c r="L8" s="4116"/>
      <c r="M8" s="4116"/>
      <c r="N8" s="4116"/>
      <c r="Y8" s="427"/>
    </row>
    <row customHeight="1" ht="22.5" hidden="1">
      <c r="A9" s="513"/>
      <c r="B9" s="2313"/>
      <c r="C9" s="2314"/>
      <c r="D9" s="697" t="str">
        <f>B9&amp;".1"</f>
        <v>.1</v>
      </c>
      <c r="E9" s="698" t="s">
        <v>1648</v>
      </c>
      <c r="F9" s="699" t="s">
        <v>299</v>
      </c>
      <c r="G9" s="705" t="s">
        <v>18</v>
      </c>
      <c r="H9" s="408" t="s">
        <v>18</v>
      </c>
      <c r="I9" s="705" t="s">
        <v>18</v>
      </c>
      <c r="J9" s="408" t="s">
        <v>18</v>
      </c>
      <c r="K9" s="4202" t="s">
        <v>18</v>
      </c>
      <c r="L9" s="4198" t="s">
        <v>18</v>
      </c>
      <c r="M9" s="4202" t="s">
        <v>18</v>
      </c>
      <c r="N9" s="4198" t="s">
        <v>18</v>
      </c>
      <c r="O9" s="277"/>
    </row>
    <row customHeight="1" ht="15" hidden="1">
      <c r="A10" s="513"/>
      <c r="B10" s="2313"/>
      <c r="C10" s="2314"/>
      <c r="D10" s="697" t="str">
        <f>B9&amp;".2"</f>
        <v>.2</v>
      </c>
      <c r="E10" s="698" t="s">
        <v>1649</v>
      </c>
      <c r="F10" s="699" t="s">
        <v>299</v>
      </c>
      <c r="G10" s="1778" t="s">
        <v>18</v>
      </c>
      <c r="H10" s="408" t="s">
        <v>18</v>
      </c>
      <c r="I10" s="1778" t="s">
        <v>18</v>
      </c>
      <c r="J10" s="408" t="s">
        <v>18</v>
      </c>
      <c r="K10" s="4203" t="s">
        <v>18</v>
      </c>
      <c r="L10" s="4198" t="s">
        <v>18</v>
      </c>
      <c r="M10" s="4203" t="s">
        <v>18</v>
      </c>
      <c r="N10" s="4198" t="s">
        <v>18</v>
      </c>
      <c r="O10" s="277" t="s">
        <v>1650</v>
      </c>
    </row>
    <row customHeight="1" ht="15" hidden="1">
      <c r="A11" s="513"/>
      <c r="B11" s="2313"/>
      <c r="C11" s="2314"/>
      <c r="D11" s="697" t="str">
        <f>B9&amp;".3"</f>
        <v>.3</v>
      </c>
      <c r="E11" s="698" t="s">
        <v>1651</v>
      </c>
      <c r="F11" s="699" t="s">
        <v>299</v>
      </c>
      <c r="G11" s="1778" t="s">
        <v>18</v>
      </c>
      <c r="H11" s="408" t="s">
        <v>18</v>
      </c>
      <c r="I11" s="1778" t="s">
        <v>18</v>
      </c>
      <c r="J11" s="408" t="s">
        <v>18</v>
      </c>
      <c r="K11" s="4203" t="s">
        <v>18</v>
      </c>
      <c r="L11" s="4198" t="s">
        <v>18</v>
      </c>
      <c r="M11" s="4203" t="s">
        <v>18</v>
      </c>
      <c r="N11" s="4198" t="s">
        <v>18</v>
      </c>
      <c r="O11" s="277" t="s">
        <v>1652</v>
      </c>
    </row>
    <row s="2600" customFormat="1" customHeight="1" ht="15" hidden="1">
      <c r="C12" s="680"/>
      <c r="K12" s="4116"/>
      <c r="L12" s="4116"/>
      <c r="M12" s="4116"/>
      <c r="N12" s="4116"/>
      <c r="Y12" s="427"/>
    </row>
    <row customHeight="1" ht="33.75" hidden="1">
      <c r="A13" s="513"/>
      <c r="B13" s="2313"/>
      <c r="C13" s="2314"/>
      <c r="D13" s="697" t="str">
        <f>B13&amp;".1"</f>
        <v>.1</v>
      </c>
      <c r="E13" s="698" t="s">
        <v>1653</v>
      </c>
      <c r="F13" s="699" t="s">
        <v>299</v>
      </c>
      <c r="G13" s="705" t="s">
        <v>18</v>
      </c>
      <c r="H13" s="408" t="s">
        <v>18</v>
      </c>
      <c r="I13" s="705" t="s">
        <v>18</v>
      </c>
      <c r="J13" s="408" t="s">
        <v>18</v>
      </c>
      <c r="K13" s="4202" t="s">
        <v>18</v>
      </c>
      <c r="L13" s="4198" t="s">
        <v>18</v>
      </c>
      <c r="M13" s="4202" t="s">
        <v>18</v>
      </c>
      <c r="N13" s="4198" t="s">
        <v>18</v>
      </c>
      <c r="O13" s="277" t="s">
        <v>1654</v>
      </c>
    </row>
    <row customHeight="1" ht="15" hidden="1">
      <c r="B14" s="2313"/>
      <c r="C14" s="2314"/>
      <c r="D14" s="697" t="str">
        <f>B13&amp;".2"</f>
        <v>.2</v>
      </c>
      <c r="E14" s="698" t="s">
        <v>1655</v>
      </c>
      <c r="F14" s="699" t="s">
        <v>299</v>
      </c>
      <c r="G14" s="1778" t="s">
        <v>18</v>
      </c>
      <c r="H14" s="408" t="s">
        <v>18</v>
      </c>
      <c r="I14" s="1778" t="s">
        <v>18</v>
      </c>
      <c r="J14" s="408" t="s">
        <v>18</v>
      </c>
      <c r="K14" s="4203" t="s">
        <v>18</v>
      </c>
      <c r="L14" s="4198" t="s">
        <v>18</v>
      </c>
      <c r="M14" s="4203" t="s">
        <v>18</v>
      </c>
      <c r="N14" s="4198" t="s">
        <v>18</v>
      </c>
      <c r="O14" s="277" t="s">
        <v>1656</v>
      </c>
    </row>
    <row s="2600" customFormat="1" customHeight="1" ht="15" hidden="1">
      <c r="C15" s="680"/>
      <c r="K15" s="4116"/>
      <c r="L15" s="4116"/>
      <c r="M15" s="4116"/>
      <c r="N15" s="4116"/>
      <c r="Y15" s="427"/>
    </row>
    <row s="2600" customFormat="1" customHeight="1" ht="15" hidden="1">
      <c r="C16" s="680"/>
      <c r="K16" s="4116"/>
      <c r="L16" s="4116"/>
      <c r="M16" s="4116"/>
      <c r="N16" s="4116"/>
      <c r="Y16" s="427"/>
    </row>
    <row s="2600" customFormat="1" customHeight="1" ht="15" hidden="1">
      <c r="C17" s="680"/>
      <c r="K17" s="4116"/>
      <c r="L17" s="4116"/>
      <c r="M17" s="4116"/>
      <c r="N17" s="4116"/>
      <c r="Y17" s="427"/>
    </row>
    <row s="2600" customFormat="1" customHeight="1" ht="15" hidden="1">
      <c r="C18" s="680"/>
      <c r="K18" s="4116"/>
      <c r="L18" s="4116"/>
      <c r="M18" s="4116"/>
      <c r="N18" s="4116"/>
      <c r="Y18" s="427"/>
    </row>
    <row s="2600" customFormat="1" customHeight="1" ht="15" hidden="1">
      <c r="C19" s="680"/>
      <c r="K19" s="4116"/>
      <c r="L19" s="4116"/>
      <c r="M19" s="4116"/>
      <c r="N19" s="4116"/>
      <c r="Y19" s="427"/>
    </row>
    <row s="2600" customFormat="1" customHeight="1" ht="15" hidden="1">
      <c r="C20" s="680"/>
      <c r="K20" s="4116"/>
      <c r="L20" s="4116"/>
      <c r="M20" s="4116"/>
      <c r="N20" s="4116"/>
      <c r="Y20" s="427"/>
    </row>
    <row customHeight="1" ht="15">
      <c r="C21" s="162"/>
      <c r="D21" s="517"/>
      <c r="E21" s="517"/>
      <c r="F21" s="517"/>
      <c r="G21" s="517"/>
      <c r="H21" s="517"/>
      <c r="I21" s="517"/>
      <c r="J21" s="517"/>
      <c r="K21" s="4122"/>
      <c r="L21" s="4122"/>
      <c r="M21" s="4122"/>
      <c r="N21" s="4122"/>
    </row>
    <row customHeight="1" ht="27.75">
      <c r="C22" s="162"/>
      <c r="D22" s="2312" t="s">
        <v>1657</v>
      </c>
      <c r="E22" s="2312"/>
      <c r="F22" s="2312"/>
      <c r="G22" s="2312"/>
      <c r="H22" s="2312"/>
      <c r="I22" s="2312"/>
      <c r="J22" s="684"/>
      <c r="K22" s="4173"/>
      <c r="L22" s="4173"/>
      <c r="M22" s="4173"/>
      <c r="N22" s="4173"/>
      <c r="O22" s="545"/>
    </row>
    <row customHeight="1" ht="15">
      <c r="C23" s="162"/>
      <c r="D23" s="2049" t="str">
        <f>IF(org=0,"Не определено",org)</f>
        <v>МУП "Уссурийск-Водоканал"</v>
      </c>
      <c r="E23" s="2049"/>
      <c r="F23" s="2049"/>
      <c r="G23" s="2049"/>
      <c r="H23" s="2049"/>
      <c r="I23" s="2049"/>
      <c r="J23" s="684"/>
      <c r="K23" s="4174"/>
      <c r="L23" s="4174"/>
      <c r="M23" s="4174"/>
      <c r="N23" s="4174"/>
      <c r="O23" s="545"/>
    </row>
    <row customHeight="1" ht="15">
      <c r="C24" s="162"/>
      <c r="D24" s="517"/>
      <c r="E24" s="517"/>
      <c r="F24" s="517"/>
      <c r="G24" s="545">
        <v>22</v>
      </c>
      <c r="H24" s="762"/>
      <c r="I24" s="545">
        <v>22</v>
      </c>
      <c r="J24" s="762"/>
      <c r="K24" s="4116" t="s">
        <v>18</v>
      </c>
      <c r="L24" s="4125"/>
      <c r="M24" s="4116" t="s">
        <v>18</v>
      </c>
      <c r="N24" s="4125"/>
    </row>
    <row s="2599" customFormat="1" customHeight="1" ht="0.75">
      <c r="A25" s="769"/>
      <c r="C25" s="162"/>
      <c r="D25" s="517"/>
      <c r="E25" s="517"/>
      <c r="F25" s="517"/>
      <c r="G25" s="545"/>
      <c r="H25" s="762"/>
      <c r="I25" s="545" t="s">
        <v>118</v>
      </c>
      <c r="J25" s="762"/>
      <c r="K25" s="4116" t="s">
        <v>123</v>
      </c>
      <c r="L25" s="4125"/>
      <c r="M25" s="4116" t="s">
        <v>126</v>
      </c>
      <c r="N25" s="4125"/>
      <c r="O25" s="424"/>
      <c r="Y25" s="683"/>
    </row>
    <row customHeight="1" ht="15">
      <c r="C26" s="162"/>
      <c r="D26" s="719"/>
      <c r="E26" s="2308" t="s">
        <v>105</v>
      </c>
      <c r="F26" s="2309"/>
      <c r="G26" s="2306" t="str">
        <f>IF(G25="","",INDEX(DIFFERENTIATION_UNMERGE_VD,MATCH(G25,DIFFERENTIATION_ID_DIFF,0)))</f>
        <v/>
      </c>
      <c r="H26" s="2307"/>
      <c r="I26" s="2306" t="str">
        <f>IF(I25="","",INDEX(DIFFERENTIATION_UNMERGE_VD,MATCH(I25,DIFFERENTIATION_ID_DIFF,0)))</f>
        <v>Водоотведение</v>
      </c>
      <c r="J26" s="2307"/>
      <c r="K26" s="4132" t="str">
        <f>IF(K25="","",INDEX(DIFFERENTIATION_UNMERGE_VD,MATCH(K25,DIFFERENTIATION_ID_DIFF,0)))</f>
        <v>Водоотведение</v>
      </c>
      <c r="L26" s="4133"/>
      <c r="M26" s="4132" t="str">
        <f>IF(M25="","",INDEX(DIFFERENTIATION_UNMERGE_VD,MATCH(M25,DIFFERENTIATION_ID_DIFF,0)))</f>
        <v>Подключение (технологическое присоединение) к централизованной системе водоотведения</v>
      </c>
      <c r="N26" s="4133"/>
      <c r="O26" s="2012" t="s">
        <v>294</v>
      </c>
    </row>
    <row s="2599" customFormat="1" customHeight="1" ht="15">
      <c r="A27" s="769"/>
      <c r="C27" s="162"/>
      <c r="D27" s="719"/>
      <c r="E27" s="2308" t="s">
        <v>418</v>
      </c>
      <c r="F27" s="2309"/>
      <c r="G27" s="2306" t="str">
        <f>IF(G25="","",INDEX(DIFFERENTIATION_UNMERGE_AREA,MATCH(G25,DIFFERENTIATION_ID_DIFF,0)))</f>
        <v/>
      </c>
      <c r="H27" s="2307"/>
      <c r="I27" s="2306" t="str">
        <f>IF(I25="","",INDEX(DIFFERENTIATION_UNMERGE_AREA,MATCH(I25,DIFFERENTIATION_ID_DIFF,0)))</f>
        <v>без дифференциации</v>
      </c>
      <c r="J27" s="2307"/>
      <c r="K27" s="4132" t="str">
        <f>IF(K25="","",INDEX(DIFFERENTIATION_UNMERGE_AREA,MATCH(K25,DIFFERENTIATION_ID_DIFF,0)))</f>
        <v>без дифференциации</v>
      </c>
      <c r="L27" s="4133"/>
      <c r="M27" s="4132" t="str">
        <f>IF(M25="","",INDEX(DIFFERENTIATION_UNMERGE_AREA,MATCH(M25,DIFFERENTIATION_ID_DIFF,0)))</f>
        <v>без дифференциации</v>
      </c>
      <c r="N27" s="4133"/>
      <c r="O27" s="2032"/>
      <c r="Y27" s="683"/>
    </row>
    <row s="2599" customFormat="1" customHeight="1" ht="15">
      <c r="A28" s="769"/>
      <c r="C28" s="162"/>
      <c r="D28" s="719"/>
      <c r="E28" s="2308" t="s">
        <v>419</v>
      </c>
      <c r="F28" s="2309"/>
      <c r="G28" s="2306" t="str">
        <f>IF(G25="","",INDEX(DIFFERENTIATION_UNMERGE_SYSTEM,MATCH(G25,DIFFERENTIATION_ID_DIFF,0)))</f>
        <v/>
      </c>
      <c r="H28" s="2307"/>
      <c r="I28" s="2306" t="str">
        <f>IF(I25="","",INDEX(DIFFERENTIATION_UNMERGE_SYSTEM,MATCH(I25,DIFFERENTIATION_ID_DIFF,0)))</f>
        <v>Уссурийский  городской  округ</v>
      </c>
      <c r="J28" s="2307"/>
      <c r="K28" s="4132" t="str">
        <f>IF(K25="","",INDEX(DIFFERENTIATION_UNMERGE_SYSTEM,MATCH(K25,DIFFERENTIATION_ID_DIFF,0)))</f>
        <v>ООО " Промышленный  парк  Уссурийский " и  ООО                   "АльянсГрупп"</v>
      </c>
      <c r="L28" s="4133"/>
      <c r="M28" s="4132" t="str">
        <f>IF(M25="","",INDEX(DIFFERENTIATION_UNMERGE_SYSTEM,MATCH(M25,DIFFERENTIATION_ID_DIFF,0)))</f>
        <v>без дифференциации</v>
      </c>
      <c r="N28" s="4133"/>
      <c r="O28" s="2032"/>
      <c r="Y28" s="683"/>
    </row>
    <row s="2599" customFormat="1" customHeight="1" ht="15">
      <c r="A29" s="769"/>
      <c r="C29" s="162"/>
      <c r="D29" s="2310" t="s">
        <v>293</v>
      </c>
      <c r="E29" s="2311"/>
      <c r="F29" s="2311"/>
      <c r="G29" s="898"/>
      <c r="H29" s="898"/>
      <c r="I29" s="898"/>
      <c r="J29" s="899"/>
      <c r="K29" s="4137"/>
      <c r="L29" s="4137"/>
      <c r="M29" s="4137"/>
      <c r="N29" s="4137"/>
      <c r="O29" s="2032"/>
      <c r="Y29" s="683"/>
    </row>
    <row customHeight="1" ht="33.75">
      <c r="C30" s="162"/>
      <c r="D30" s="771" t="s">
        <v>88</v>
      </c>
      <c r="E30" s="770" t="s">
        <v>295</v>
      </c>
      <c r="F30" s="770" t="s">
        <v>1616</v>
      </c>
      <c r="G30" s="818" t="s">
        <v>296</v>
      </c>
      <c r="H30" s="817" t="s">
        <v>385</v>
      </c>
      <c r="I30" s="692" t="s">
        <v>296</v>
      </c>
      <c r="J30" s="473" t="s">
        <v>385</v>
      </c>
      <c r="K30" s="4141" t="s">
        <v>296</v>
      </c>
      <c r="L30" s="4142" t="s">
        <v>385</v>
      </c>
      <c r="M30" s="4141" t="s">
        <v>296</v>
      </c>
      <c r="N30" s="4142" t="s">
        <v>385</v>
      </c>
      <c r="O30" s="2038"/>
    </row>
    <row customHeight="1" ht="15" hidden="1">
      <c r="C31" s="162"/>
      <c r="D31" s="601"/>
      <c r="E31" s="601"/>
      <c r="F31" s="601"/>
      <c r="G31" s="667"/>
      <c r="H31" s="667"/>
      <c r="I31" s="667"/>
      <c r="J31" s="667"/>
      <c r="K31" s="4144"/>
      <c r="L31" s="4144"/>
      <c r="M31" s="4144"/>
      <c r="N31" s="4144"/>
      <c r="O31" s="277"/>
    </row>
    <row customHeight="1" ht="22.5">
      <c r="A32" s="513"/>
      <c r="B32" s="513" t="s">
        <v>1658</v>
      </c>
      <c r="C32" s="534"/>
      <c r="D32" s="700">
        <v>1</v>
      </c>
      <c r="E32" s="701" t="s">
        <v>1659</v>
      </c>
      <c r="F32" s="699" t="s">
        <v>299</v>
      </c>
      <c r="G32" s="823" t="s">
        <v>299</v>
      </c>
      <c r="H32" s="823" t="s">
        <v>299</v>
      </c>
      <c r="I32" s="699" t="s">
        <v>299</v>
      </c>
      <c r="J32" s="699" t="s">
        <v>299</v>
      </c>
      <c r="K32" s="4209" t="s">
        <v>299</v>
      </c>
      <c r="L32" s="4209" t="s">
        <v>299</v>
      </c>
      <c r="M32" s="4209" t="s">
        <v>299</v>
      </c>
      <c r="N32" s="4209" t="s">
        <v>299</v>
      </c>
      <c r="O32" s="277"/>
    </row>
    <row customHeight="1" ht="11.25">
      <c r="A33" s="513"/>
      <c r="C33" s="513"/>
      <c r="D33" s="343"/>
      <c r="E33" s="588" t="s">
        <v>1573</v>
      </c>
      <c r="F33" s="580"/>
      <c r="G33" s="580"/>
      <c r="H33" s="580"/>
      <c r="I33" s="580"/>
      <c r="J33" s="580"/>
      <c r="K33" s="4210"/>
      <c r="L33" s="4211"/>
      <c r="M33" s="4212"/>
      <c r="N33" s="4213"/>
      <c r="O33" s="581"/>
      <c r="Y33" s="513"/>
    </row>
    <row customHeight="1" ht="22.5">
      <c r="A34" s="513"/>
      <c r="B34" s="589" t="s">
        <v>453</v>
      </c>
      <c r="C34" s="534"/>
      <c r="D34" s="700">
        <v>2</v>
      </c>
      <c r="E34" s="701" t="s">
        <v>1660</v>
      </c>
      <c r="F34" s="830" t="s">
        <v>299</v>
      </c>
      <c r="G34" s="830" t="s">
        <v>299</v>
      </c>
      <c r="H34" s="830" t="s">
        <v>299</v>
      </c>
      <c r="I34" s="699"/>
      <c r="J34" s="699"/>
      <c r="K34" s="4209" t="s">
        <v>299</v>
      </c>
      <c r="L34" s="4209" t="s">
        <v>299</v>
      </c>
      <c r="M34" s="4209" t="s">
        <v>299</v>
      </c>
      <c r="N34" s="4209" t="s">
        <v>299</v>
      </c>
      <c r="O34" s="277"/>
    </row>
    <row customHeight="1" ht="11.25">
      <c r="A35" s="513"/>
      <c r="C35" s="513"/>
      <c r="D35" s="343"/>
      <c r="E35" s="588" t="s">
        <v>1661</v>
      </c>
      <c r="F35" s="580"/>
      <c r="G35" s="702"/>
      <c r="H35" s="580"/>
      <c r="I35" s="702"/>
      <c r="J35" s="580"/>
      <c r="K35" s="4217"/>
      <c r="L35" s="4218"/>
      <c r="M35" s="4219"/>
      <c r="N35" s="4220"/>
      <c r="O35" s="581"/>
      <c r="Y35" s="513"/>
    </row>
    <row customHeight="1" ht="67.5">
      <c r="A36" s="513"/>
      <c r="B36" s="513" t="s">
        <v>1662</v>
      </c>
      <c r="C36" s="534"/>
      <c r="D36" s="700">
        <v>3</v>
      </c>
      <c r="E36" s="701" t="s">
        <v>1663</v>
      </c>
      <c r="F36" s="703" t="s">
        <v>299</v>
      </c>
      <c r="G36" s="824" t="s">
        <v>1664</v>
      </c>
      <c r="H36" s="823" t="s">
        <v>299</v>
      </c>
      <c r="I36" s="532" t="s">
        <v>1664</v>
      </c>
      <c r="J36" s="699" t="s">
        <v>299</v>
      </c>
      <c r="K36" s="4224" t="s">
        <v>1664</v>
      </c>
      <c r="L36" s="4209" t="s">
        <v>299</v>
      </c>
      <c r="M36" s="4224" t="s">
        <v>1664</v>
      </c>
      <c r="N36" s="4209" t="s">
        <v>299</v>
      </c>
      <c r="O36" s="277" t="s">
        <v>1665</v>
      </c>
    </row>
    <row customHeight="1" ht="11.25">
      <c r="A37" s="513"/>
      <c r="C37" s="513"/>
      <c r="D37" s="343"/>
      <c r="E37" s="588" t="s">
        <v>1666</v>
      </c>
      <c r="F37" s="580"/>
      <c r="G37" s="702"/>
      <c r="H37" s="702"/>
      <c r="I37" s="702"/>
      <c r="J37" s="702"/>
      <c r="K37" s="4225"/>
      <c r="L37" s="4226"/>
      <c r="M37" s="4227"/>
      <c r="N37" s="4228"/>
      <c r="O37" s="581"/>
      <c r="Y37" s="513"/>
    </row>
    <row customHeight="1" ht="67.5">
      <c r="A38" s="513"/>
      <c r="B38" s="513" t="s">
        <v>1667</v>
      </c>
      <c r="C38" s="534"/>
      <c r="D38" s="700">
        <v>4</v>
      </c>
      <c r="E38" s="701" t="s">
        <v>1668</v>
      </c>
      <c r="F38" s="703" t="s">
        <v>299</v>
      </c>
      <c r="G38" s="824" t="s">
        <v>1664</v>
      </c>
      <c r="H38" s="825" t="s">
        <v>299</v>
      </c>
      <c r="I38" s="532" t="s">
        <v>1664</v>
      </c>
      <c r="J38" s="529" t="s">
        <v>299</v>
      </c>
      <c r="K38" s="4224" t="s">
        <v>1664</v>
      </c>
      <c r="L38" s="4142" t="s">
        <v>299</v>
      </c>
      <c r="M38" s="4224" t="s">
        <v>1664</v>
      </c>
      <c r="N38" s="4142" t="s">
        <v>299</v>
      </c>
      <c r="O38" s="687" t="s">
        <v>1669</v>
      </c>
    </row>
    <row customHeight="1" ht="11.25">
      <c r="A39" s="513"/>
      <c r="C39" s="513"/>
      <c r="D39" s="343"/>
      <c r="E39" s="588" t="s">
        <v>1670</v>
      </c>
      <c r="F39" s="580"/>
      <c r="G39" s="580"/>
      <c r="H39" s="704"/>
      <c r="I39" s="580"/>
      <c r="J39" s="704"/>
      <c r="K39" s="4231"/>
      <c r="L39" s="4232"/>
      <c r="M39" s="4233"/>
      <c r="N39" s="4234"/>
      <c r="O39" s="581"/>
      <c r="Y39" s="513"/>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J3:J4 L3:L4 N3:N4 J6:J7 L6:L7 N6:N7 H3:H4 H6:H7 H9:H11 H13:H14 J9:J11 L9:L11 N9:N11">
      <formula1>900</formula1>
    </dataValidation>
    <dataValidation allowBlank="1" showInputMessage="1" showErrorMessage="1" prompt="Для выбора выполните двойной щелчок левой клавиши мыши по ячейке." sqref="I36 G38 I38 G36 K36 K38 M36 M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BAF8B1-803F-466D-D3B4-C5825CCEF25F}" mc:Ignorable="x14ac xr xr2 xr3">
  <sheetPr>
    <tabColor theme="6" tint="0.4"/>
  </sheetPr>
  <dimension ref="A1:AF216"/>
  <sheetViews>
    <sheetView topLeftCell="A1" showGridLines="0" zoomScale="86" workbookViewId="0">
      <selection activeCell="A1" sqref="A1"/>
    </sheetView>
  </sheetViews>
  <sheetFormatPr defaultColWidth="10.57421875" customHeight="1" defaultRowHeight="14.25"/>
  <cols>
    <col min="1" max="1" style="4235" width="25.140625" hidden="1" customWidth="1"/>
    <col min="2" max="2" style="4075" width="9.140625" hidden="1" customWidth="1"/>
    <col min="3" max="3" style="3694" width="3.7109375" customWidth="1"/>
    <col min="4" max="4" style="4102" width="6.28125" customWidth="1"/>
    <col min="5" max="5" style="4102" width="46.7109375" customWidth="1"/>
    <col min="6" max="6" style="4102" width="35.7109375" customWidth="1"/>
    <col min="7" max="7" style="4102" width="3.7109375" customWidth="1"/>
    <col min="8" max="9" style="4102" width="11.7109375" customWidth="1"/>
    <col min="10" max="11" style="4102" width="35.7109375" customWidth="1"/>
    <col min="12" max="12" style="4102" width="84.8515625" customWidth="1"/>
    <col min="13" max="13" style="4102" width="10.57421875"/>
    <col min="14" max="15" style="3523" width="10.57421875"/>
    <col min="16" max="32" style="4102" width="10.57421875"/>
  </cols>
  <sheetData>
    <row s="2885" customFormat="1" customHeight="1" ht="14.25" hidden="1">
      <c r="A1" s="1829"/>
      <c r="B1" s="369"/>
      <c r="C1" s="340"/>
      <c r="N1" s="1670"/>
      <c r="O1" s="1670"/>
      <c r="S1" s="841"/>
      <c r="AF1" s="241"/>
    </row>
    <row s="2885" customFormat="1" customHeight="1" ht="56.25" hidden="1">
      <c r="A2" s="1830"/>
      <c r="B2" s="369"/>
      <c r="C2" s="340"/>
      <c r="D2" s="1044"/>
      <c r="E2" s="1044"/>
      <c r="F2" s="1044"/>
      <c r="G2" s="1820"/>
      <c r="H2" s="1785"/>
      <c r="I2" s="1823"/>
      <c r="J2" s="1822"/>
      <c r="K2" s="1820" t="s">
        <v>299</v>
      </c>
      <c r="M2" s="330"/>
      <c r="N2" s="1670"/>
      <c r="O2" s="1670"/>
    </row>
    <row customHeight="1" ht="14.25" hidden="1">
      <c r="S3" s="403"/>
      <c r="AF3" s="241"/>
    </row>
    <row s="2885" customFormat="1" customHeight="1" ht="56.25" hidden="1">
      <c r="A4" s="1830"/>
      <c r="B4" s="369"/>
      <c r="C4" s="340"/>
      <c r="D4" s="1044"/>
      <c r="E4" s="1044"/>
      <c r="F4" s="1044"/>
      <c r="G4" s="1819"/>
      <c r="H4" s="1785"/>
      <c r="I4" s="1823"/>
      <c r="J4" s="1828"/>
      <c r="K4" s="1820" t="s">
        <v>299</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293</v>
      </c>
      <c r="E13" s="2047"/>
      <c r="F13" s="2047"/>
      <c r="G13" s="2047"/>
      <c r="H13" s="2047"/>
      <c r="I13" s="2047"/>
      <c r="J13" s="2047"/>
      <c r="K13" s="2047"/>
      <c r="L13" s="2174" t="s">
        <v>294</v>
      </c>
    </row>
    <row customHeight="1" ht="21">
      <c r="C14" s="377"/>
      <c r="D14" s="2210" t="s">
        <v>88</v>
      </c>
      <c r="E14" s="2063" t="s">
        <v>129</v>
      </c>
      <c r="F14" s="2063" t="s">
        <v>130</v>
      </c>
      <c r="G14" s="2317" t="s">
        <v>1671</v>
      </c>
      <c r="H14" s="2318"/>
      <c r="I14" s="2319"/>
      <c r="J14" s="2063" t="s">
        <v>296</v>
      </c>
      <c r="K14" s="2063" t="s">
        <v>385</v>
      </c>
      <c r="L14" s="2174"/>
    </row>
    <row customHeight="1" ht="21">
      <c r="C15" s="377"/>
      <c r="D15" s="2212"/>
      <c r="E15" s="2064"/>
      <c r="F15" s="2064"/>
      <c r="G15" s="2057" t="s">
        <v>1551</v>
      </c>
      <c r="H15" s="2059"/>
      <c r="I15" s="94" t="s">
        <v>1672</v>
      </c>
      <c r="J15" s="2064"/>
      <c r="K15" s="2064"/>
      <c r="L15" s="2174"/>
    </row>
    <row customHeight="1" ht="12" hidden="1">
      <c r="C16" s="377"/>
      <c r="D16" s="269"/>
      <c r="E16" s="269"/>
      <c r="F16" s="269"/>
      <c r="G16" s="2320"/>
      <c r="H16" s="2320"/>
      <c r="I16" s="269"/>
      <c r="J16" s="269"/>
      <c r="K16" s="269"/>
      <c r="L16" s="269"/>
    </row>
    <row customHeight="1" ht="18.75">
      <c r="A17" s="1830"/>
      <c r="C17" s="377"/>
      <c r="D17" s="1818" t="s">
        <v>109</v>
      </c>
      <c r="E17" s="2303" t="str">
        <f>"Предлагаемый метод регулирования"&amp;IF(TEMPLATE_SPHERE="HEAT"," в сфере "&amp;TEMPLATE_SPHERE_RUS,"")</f>
        <v>Предлагаемый метод регулирования</v>
      </c>
      <c r="F17" s="2304"/>
      <c r="G17" s="2304"/>
      <c r="H17" s="2304"/>
      <c r="I17" s="2304"/>
      <c r="J17" s="2316" t="s">
        <v>299</v>
      </c>
      <c r="K17" s="2304"/>
      <c r="L17" s="1817"/>
      <c r="M17" s="330"/>
    </row>
    <row customHeight="1" ht="56.25" hidden="1">
      <c r="A18" s="1830" t="s">
        <v>162</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299</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1673</v>
      </c>
      <c r="C19" s="2315"/>
      <c r="D19" s="2041"/>
      <c r="E19" s="2145"/>
      <c r="F19" s="2145"/>
      <c r="G19" s="406"/>
      <c r="H19" s="401" t="s">
        <v>1572</v>
      </c>
      <c r="I19" s="345"/>
      <c r="J19" s="407"/>
      <c r="K19" s="187"/>
      <c r="L19" s="2007"/>
      <c r="M19" s="330"/>
    </row>
    <row s="2885" customFormat="1" customHeight="1" ht="26.25" hidden="1">
      <c r="A20" s="1830" t="s">
        <v>168</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299</v>
      </c>
      <c r="L20" s="2007"/>
      <c r="M20" s="330"/>
      <c r="N20" s="1670"/>
      <c r="O20" s="1670"/>
    </row>
    <row s="2885" customFormat="1" customHeight="1" ht="18.75" hidden="1">
      <c r="A21" s="1830"/>
      <c r="B21" s="369" t="s">
        <v>1673</v>
      </c>
      <c r="C21" s="2315"/>
      <c r="D21" s="2041"/>
      <c r="E21" s="2145"/>
      <c r="F21" s="2145"/>
      <c r="G21" s="406"/>
      <c r="H21" s="401" t="s">
        <v>1572</v>
      </c>
      <c r="I21" s="345"/>
      <c r="J21" s="407"/>
      <c r="K21" s="187"/>
      <c r="L21" s="2007"/>
      <c r="M21" s="330"/>
      <c r="N21" s="1670"/>
      <c r="O21" s="1670"/>
    </row>
    <row s="2885" customFormat="1" customHeight="1" ht="18.75" hidden="1">
      <c r="A22" s="1830" t="s">
        <v>174</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299</v>
      </c>
      <c r="L22" s="2007"/>
      <c r="M22" s="330"/>
      <c r="N22" s="1670"/>
      <c r="O22" s="1670"/>
    </row>
    <row s="2885" customFormat="1" customHeight="1" ht="18.75" hidden="1">
      <c r="A23" s="1830"/>
      <c r="B23" s="369" t="s">
        <v>1673</v>
      </c>
      <c r="C23" s="2315"/>
      <c r="D23" s="2041"/>
      <c r="E23" s="2145"/>
      <c r="F23" s="2145"/>
      <c r="G23" s="406"/>
      <c r="H23" s="401" t="s">
        <v>1572</v>
      </c>
      <c r="I23" s="345"/>
      <c r="J23" s="407"/>
      <c r="K23" s="187"/>
      <c r="L23" s="2007"/>
      <c r="M23" s="330"/>
      <c r="N23" s="1670"/>
      <c r="O23" s="1670"/>
    </row>
    <row s="2885" customFormat="1" customHeight="1" ht="41.25" hidden="1">
      <c r="A24" s="1830" t="s">
        <v>180</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299</v>
      </c>
      <c r="L24" s="2007"/>
      <c r="M24" s="330"/>
      <c r="N24" s="1670"/>
      <c r="O24" s="1670"/>
    </row>
    <row s="2885" customFormat="1" customHeight="1" ht="18.75" hidden="1">
      <c r="A25" s="1830"/>
      <c r="B25" s="369" t="s">
        <v>1673</v>
      </c>
      <c r="C25" s="2315"/>
      <c r="D25" s="2041"/>
      <c r="E25" s="2145"/>
      <c r="F25" s="2145"/>
      <c r="G25" s="406"/>
      <c r="H25" s="401" t="s">
        <v>1572</v>
      </c>
      <c r="I25" s="345"/>
      <c r="J25" s="407"/>
      <c r="K25" s="187"/>
      <c r="L25" s="2007"/>
      <c r="M25" s="330"/>
      <c r="N25" s="1670"/>
      <c r="O25" s="1670"/>
    </row>
    <row s="2885" customFormat="1" customHeight="1" ht="18.75" hidden="1">
      <c r="A26" s="1830" t="s">
        <v>186</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299</v>
      </c>
      <c r="L26" s="2007"/>
      <c r="M26" s="330"/>
      <c r="N26" s="1670"/>
      <c r="O26" s="1670"/>
    </row>
    <row s="2885" customFormat="1" customHeight="1" ht="18.75" hidden="1">
      <c r="A27" s="1830"/>
      <c r="B27" s="369" t="s">
        <v>1673</v>
      </c>
      <c r="C27" s="2315"/>
      <c r="D27" s="2041"/>
      <c r="E27" s="2145"/>
      <c r="F27" s="2145"/>
      <c r="G27" s="406"/>
      <c r="H27" s="401" t="s">
        <v>1572</v>
      </c>
      <c r="I27" s="345"/>
      <c r="J27" s="407"/>
      <c r="K27" s="187"/>
      <c r="L27" s="2007"/>
      <c r="M27" s="330"/>
      <c r="N27" s="1670"/>
      <c r="O27" s="1670"/>
    </row>
    <row s="2885" customFormat="1" customHeight="1" ht="18.75" hidden="1">
      <c r="A28" s="1830" t="s">
        <v>192</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299</v>
      </c>
      <c r="L28" s="2007"/>
      <c r="M28" s="330"/>
      <c r="N28" s="1670"/>
      <c r="O28" s="1670"/>
    </row>
    <row s="2885" customFormat="1" customHeight="1" ht="18.75" hidden="1">
      <c r="A29" s="1830"/>
      <c r="B29" s="369" t="s">
        <v>1673</v>
      </c>
      <c r="C29" s="2315"/>
      <c r="D29" s="2041"/>
      <c r="E29" s="2145"/>
      <c r="F29" s="2145"/>
      <c r="G29" s="406"/>
      <c r="H29" s="401" t="s">
        <v>1572</v>
      </c>
      <c r="I29" s="345"/>
      <c r="J29" s="407"/>
      <c r="K29" s="187"/>
      <c r="L29" s="2007"/>
      <c r="M29" s="330"/>
      <c r="N29" s="1670"/>
      <c r="O29" s="1670"/>
    </row>
    <row s="2885" customFormat="1" customHeight="1" ht="18.75" hidden="1">
      <c r="A30" s="1830" t="s">
        <v>198</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299</v>
      </c>
      <c r="L30" s="2007"/>
      <c r="M30" s="330"/>
      <c r="N30" s="1670"/>
      <c r="O30" s="1670"/>
    </row>
    <row s="2885" customFormat="1" customHeight="1" ht="18.75" hidden="1">
      <c r="A31" s="1830"/>
      <c r="B31" s="369" t="s">
        <v>1673</v>
      </c>
      <c r="C31" s="2315"/>
      <c r="D31" s="2041"/>
      <c r="E31" s="2145"/>
      <c r="F31" s="2145"/>
      <c r="G31" s="406"/>
      <c r="H31" s="401" t="s">
        <v>1572</v>
      </c>
      <c r="I31" s="345"/>
      <c r="J31" s="407"/>
      <c r="K31" s="187"/>
      <c r="L31" s="2007"/>
      <c r="M31" s="330"/>
      <c r="N31" s="1670"/>
      <c r="O31" s="1670"/>
    </row>
    <row s="2885" customFormat="1" customHeight="1" ht="18.75" hidden="1">
      <c r="A32" s="1830" t="s">
        <v>204</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
      </c>
      <c r="G32" s="1816"/>
      <c r="H32" s="1785"/>
      <c r="I32" s="1823"/>
      <c r="J32" s="1822"/>
      <c r="K32" s="1815" t="s">
        <v>299</v>
      </c>
      <c r="L32" s="2007"/>
      <c r="M32" s="330"/>
      <c r="N32" s="1670"/>
      <c r="O32" s="1670"/>
    </row>
    <row s="2885" customFormat="1" customHeight="1" ht="18.75" hidden="1">
      <c r="A33" s="1830"/>
      <c r="B33" s="369" t="s">
        <v>1673</v>
      </c>
      <c r="C33" s="2315"/>
      <c r="D33" s="2041"/>
      <c r="E33" s="2145"/>
      <c r="F33" s="2145"/>
      <c r="G33" s="406"/>
      <c r="H33" s="401" t="s">
        <v>1572</v>
      </c>
      <c r="I33" s="345"/>
      <c r="J33" s="407"/>
      <c r="K33" s="187"/>
      <c r="L33" s="2007"/>
      <c r="M33" s="330"/>
      <c r="N33" s="1670"/>
      <c r="O33" s="1670"/>
    </row>
    <row s="2885" customFormat="1" customHeight="1" ht="18.75" hidden="1">
      <c r="A34" s="1830" t="s">
        <v>218</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299</v>
      </c>
      <c r="L34" s="2007"/>
      <c r="M34" s="330"/>
      <c r="N34" s="1670"/>
      <c r="O34" s="1670"/>
    </row>
    <row s="2885" customFormat="1" customHeight="1" ht="18.75" hidden="1">
      <c r="A35" s="1830"/>
      <c r="B35" s="369" t="s">
        <v>1673</v>
      </c>
      <c r="C35" s="2315"/>
      <c r="D35" s="2041"/>
      <c r="E35" s="2145"/>
      <c r="F35" s="2145"/>
      <c r="G35" s="406"/>
      <c r="H35" s="401" t="s">
        <v>1572</v>
      </c>
      <c r="I35" s="345"/>
      <c r="J35" s="407"/>
      <c r="K35" s="187"/>
      <c r="L35" s="2007"/>
      <c r="M35" s="330"/>
      <c r="N35" s="1670"/>
      <c r="O35" s="1670"/>
    </row>
    <row s="2885" customFormat="1" customHeight="1" ht="18.75" hidden="1">
      <c r="A36" s="1830" t="s">
        <v>223</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299</v>
      </c>
      <c r="L36" s="2007"/>
      <c r="M36" s="330"/>
      <c r="N36" s="1670"/>
      <c r="O36" s="1670"/>
    </row>
    <row s="2885" customFormat="1" customHeight="1" ht="18.75" hidden="1">
      <c r="A37" s="1830"/>
      <c r="B37" s="369" t="s">
        <v>1673</v>
      </c>
      <c r="C37" s="2315"/>
      <c r="D37" s="2041"/>
      <c r="E37" s="2145"/>
      <c r="F37" s="2145"/>
      <c r="G37" s="406"/>
      <c r="H37" s="401" t="s">
        <v>1572</v>
      </c>
      <c r="I37" s="345"/>
      <c r="J37" s="407"/>
      <c r="K37" s="187"/>
      <c r="L37" s="2007"/>
      <c r="M37" s="330"/>
      <c r="N37" s="1670"/>
      <c r="O37" s="1670"/>
    </row>
    <row s="2885" customFormat="1" customHeight="1" ht="18.75" hidden="1">
      <c r="A38" s="1830" t="s">
        <v>228</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299</v>
      </c>
      <c r="L38" s="2007"/>
      <c r="M38" s="330"/>
      <c r="N38" s="1670"/>
      <c r="O38" s="1670"/>
    </row>
    <row s="2885" customFormat="1" customHeight="1" ht="18.75" hidden="1">
      <c r="A39" s="1830"/>
      <c r="B39" s="369" t="s">
        <v>1673</v>
      </c>
      <c r="C39" s="2315"/>
      <c r="D39" s="2041"/>
      <c r="E39" s="2145"/>
      <c r="F39" s="2145"/>
      <c r="G39" s="406"/>
      <c r="H39" s="401" t="s">
        <v>1572</v>
      </c>
      <c r="I39" s="345"/>
      <c r="J39" s="407"/>
      <c r="K39" s="187"/>
      <c r="L39" s="2007"/>
      <c r="M39" s="330"/>
      <c r="N39" s="1670"/>
      <c r="O39" s="1670"/>
    </row>
    <row s="2885" customFormat="1" customHeight="1" ht="18.75" hidden="1">
      <c r="A40" s="1830" t="s">
        <v>233</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299</v>
      </c>
      <c r="L40" s="2007"/>
      <c r="M40" s="330"/>
      <c r="N40" s="1670"/>
      <c r="O40" s="1670"/>
    </row>
    <row s="2885" customFormat="1" customHeight="1" ht="18.75" hidden="1">
      <c r="A41" s="1830"/>
      <c r="B41" s="369" t="s">
        <v>1673</v>
      </c>
      <c r="C41" s="2315"/>
      <c r="D41" s="2041"/>
      <c r="E41" s="2145"/>
      <c r="F41" s="2145"/>
      <c r="G41" s="406"/>
      <c r="H41" s="401" t="s">
        <v>1572</v>
      </c>
      <c r="I41" s="345"/>
      <c r="J41" s="407"/>
      <c r="K41" s="187"/>
      <c r="L41" s="2007"/>
      <c r="M41" s="330"/>
      <c r="N41" s="1670"/>
      <c r="O41" s="1670"/>
    </row>
    <row s="2885" customFormat="1" customHeight="1" ht="18.75" hidden="1">
      <c r="A42" s="1830" t="s">
        <v>238</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
      </c>
      <c r="G42" s="1816"/>
      <c r="H42" s="1785"/>
      <c r="I42" s="1823"/>
      <c r="J42" s="1822"/>
      <c r="K42" s="1815" t="s">
        <v>299</v>
      </c>
      <c r="L42" s="2007"/>
      <c r="M42" s="330"/>
      <c r="N42" s="1670"/>
      <c r="O42" s="1670"/>
    </row>
    <row s="2885" customFormat="1" customHeight="1" ht="18.75" hidden="1">
      <c r="A43" s="1830"/>
      <c r="B43" s="369" t="s">
        <v>1673</v>
      </c>
      <c r="C43" s="2315"/>
      <c r="D43" s="2041"/>
      <c r="E43" s="2145"/>
      <c r="F43" s="2145"/>
      <c r="G43" s="406"/>
      <c r="H43" s="401" t="s">
        <v>1572</v>
      </c>
      <c r="I43" s="345"/>
      <c r="J43" s="407"/>
      <c r="K43" s="187"/>
      <c r="L43" s="2007"/>
      <c r="M43" s="330"/>
      <c r="N43" s="1670"/>
      <c r="O43" s="1670"/>
    </row>
    <row s="2885" customFormat="1" customHeight="1" ht="18.75" hidden="1">
      <c r="A44" s="1830" t="s">
        <v>243</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299</v>
      </c>
      <c r="L44" s="2007"/>
      <c r="M44" s="330"/>
      <c r="N44" s="1670"/>
      <c r="O44" s="1670"/>
    </row>
    <row s="2885" customFormat="1" customHeight="1" ht="18.75" hidden="1">
      <c r="A45" s="1830"/>
      <c r="B45" s="369" t="s">
        <v>1673</v>
      </c>
      <c r="C45" s="2315"/>
      <c r="D45" s="2041"/>
      <c r="E45" s="2145"/>
      <c r="F45" s="2145"/>
      <c r="G45" s="406"/>
      <c r="H45" s="401" t="s">
        <v>1572</v>
      </c>
      <c r="I45" s="345"/>
      <c r="J45" s="407"/>
      <c r="K45" s="187"/>
      <c r="L45" s="2007"/>
      <c r="M45" s="330"/>
      <c r="N45" s="1670"/>
      <c r="O45" s="1670"/>
    </row>
    <row s="2885" customFormat="1" customHeight="1" ht="18.75" hidden="1">
      <c r="A46" s="1830" t="s">
        <v>248</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299</v>
      </c>
      <c r="L46" s="2007"/>
      <c r="M46" s="330"/>
      <c r="N46" s="1670"/>
      <c r="O46" s="1670"/>
    </row>
    <row s="2885" customFormat="1" customHeight="1" ht="18.75" hidden="1">
      <c r="A47" s="1830"/>
      <c r="B47" s="369" t="s">
        <v>1673</v>
      </c>
      <c r="C47" s="2315"/>
      <c r="D47" s="2041"/>
      <c r="E47" s="2145"/>
      <c r="F47" s="2145"/>
      <c r="G47" s="406"/>
      <c r="H47" s="401" t="s">
        <v>1572</v>
      </c>
      <c r="I47" s="345"/>
      <c r="J47" s="407"/>
      <c r="K47" s="187"/>
      <c r="L47" s="2007"/>
      <c r="M47" s="330"/>
      <c r="N47" s="1670"/>
      <c r="O47" s="1670"/>
    </row>
    <row s="2885" customFormat="1" customHeight="1" ht="18.75" hidden="1">
      <c r="A48" s="1830" t="s">
        <v>253</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299</v>
      </c>
      <c r="L48" s="2007"/>
      <c r="M48" s="330"/>
      <c r="N48" s="1670"/>
      <c r="O48" s="1670"/>
    </row>
    <row s="2885" customFormat="1" customHeight="1" ht="18.75" hidden="1">
      <c r="A49" s="1830"/>
      <c r="B49" s="369" t="s">
        <v>1673</v>
      </c>
      <c r="C49" s="2315"/>
      <c r="D49" s="2041"/>
      <c r="E49" s="2145"/>
      <c r="F49" s="2145"/>
      <c r="G49" s="406"/>
      <c r="H49" s="401" t="s">
        <v>1572</v>
      </c>
      <c r="I49" s="345"/>
      <c r="J49" s="407"/>
      <c r="K49" s="187"/>
      <c r="L49" s="2007"/>
      <c r="M49" s="330"/>
      <c r="N49" s="1670"/>
      <c r="O49" s="1670"/>
    </row>
    <row s="2885" customFormat="1" customHeight="1" ht="18.75" hidden="1">
      <c r="A50" s="1830" t="s">
        <v>258</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299</v>
      </c>
      <c r="L50" s="2007"/>
      <c r="M50" s="330"/>
      <c r="N50" s="1670"/>
      <c r="O50" s="1670"/>
    </row>
    <row s="2885" customFormat="1" customHeight="1" ht="18.75" hidden="1">
      <c r="A51" s="1830"/>
      <c r="B51" s="369" t="s">
        <v>1673</v>
      </c>
      <c r="C51" s="2315"/>
      <c r="D51" s="2041"/>
      <c r="E51" s="2145"/>
      <c r="F51" s="2145"/>
      <c r="G51" s="406"/>
      <c r="H51" s="401" t="s">
        <v>1572</v>
      </c>
      <c r="I51" s="345"/>
      <c r="J51" s="407"/>
      <c r="K51" s="187"/>
      <c r="L51" s="2007"/>
      <c r="M51" s="330"/>
      <c r="N51" s="1670"/>
      <c r="O51" s="1670"/>
    </row>
    <row s="2885" customFormat="1" customHeight="1" ht="18.75" hidden="1">
      <c r="A52" s="1830" t="s">
        <v>263</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299</v>
      </c>
      <c r="L52" s="2007"/>
      <c r="M52" s="330"/>
      <c r="N52" s="1670"/>
      <c r="O52" s="1670"/>
    </row>
    <row s="2885" customFormat="1" customHeight="1" ht="18.75" hidden="1">
      <c r="A53" s="1830"/>
      <c r="B53" s="369" t="s">
        <v>1673</v>
      </c>
      <c r="C53" s="2315"/>
      <c r="D53" s="2041"/>
      <c r="E53" s="2145"/>
      <c r="F53" s="2145"/>
      <c r="G53" s="406"/>
      <c r="H53" s="401" t="s">
        <v>1572</v>
      </c>
      <c r="I53" s="345"/>
      <c r="J53" s="407"/>
      <c r="K53" s="187"/>
      <c r="L53" s="2007"/>
      <c r="M53" s="330"/>
      <c r="N53" s="1670"/>
      <c r="O53" s="1670"/>
    </row>
    <row s="2885" customFormat="1" customHeight="1" ht="18.75" hidden="1">
      <c r="A54" s="1830" t="s">
        <v>268</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
      </c>
      <c r="G54" s="1816"/>
      <c r="H54" s="1785"/>
      <c r="I54" s="1823"/>
      <c r="J54" s="1822"/>
      <c r="K54" s="1815" t="s">
        <v>299</v>
      </c>
      <c r="L54" s="2007"/>
      <c r="M54" s="330"/>
      <c r="N54" s="1670"/>
      <c r="O54" s="1670"/>
    </row>
    <row s="2885" customFormat="1" customHeight="1" ht="18.75" hidden="1">
      <c r="A55" s="1830"/>
      <c r="B55" s="369" t="s">
        <v>1673</v>
      </c>
      <c r="C55" s="2315"/>
      <c r="D55" s="2041"/>
      <c r="E55" s="2145"/>
      <c r="F55" s="2145"/>
      <c r="G55" s="406"/>
      <c r="H55" s="401" t="s">
        <v>1572</v>
      </c>
      <c r="I55" s="345"/>
      <c r="J55" s="407"/>
      <c r="K55" s="187"/>
      <c r="L55" s="2007"/>
      <c r="M55" s="330"/>
      <c r="N55" s="1670"/>
      <c r="O55" s="1670"/>
    </row>
    <row customHeight="1" ht="18.75">
      <c r="A56" s="1830"/>
      <c r="C56" s="377"/>
      <c r="D56" s="133" t="s">
        <v>110</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F56" s="2303"/>
      <c r="G56" s="2303"/>
      <c r="H56" s="2303"/>
      <c r="I56" s="2303"/>
      <c r="J56" s="2303"/>
      <c r="K56" s="2303"/>
      <c r="L56" s="285"/>
      <c r="M56" s="330"/>
    </row>
    <row customHeight="1" ht="33.75">
      <c r="A57" s="1830"/>
      <c r="C57" s="377"/>
      <c r="D57" s="405"/>
      <c r="E57" s="184" t="s">
        <v>299</v>
      </c>
      <c r="F57" s="184" t="s">
        <v>299</v>
      </c>
      <c r="G57" s="2057" t="s">
        <v>299</v>
      </c>
      <c r="H57" s="2059"/>
      <c r="I57" s="184" t="s">
        <v>299</v>
      </c>
      <c r="J57" s="184" t="s">
        <v>299</v>
      </c>
      <c r="K57" s="408"/>
      <c r="L57" s="341" t="s">
        <v>1674</v>
      </c>
      <c r="M57" s="330"/>
    </row>
    <row customHeight="1" ht="18.75">
      <c r="A58" s="1830"/>
      <c r="C58" s="377"/>
      <c r="D58" s="133" t="s">
        <v>90</v>
      </c>
      <c r="E58" s="2303" t="s">
        <v>1675</v>
      </c>
      <c r="F58" s="2303"/>
      <c r="G58" s="2303"/>
      <c r="H58" s="2303"/>
      <c r="I58" s="2303"/>
      <c r="J58" s="2303"/>
      <c r="K58" s="2303"/>
      <c r="L58" s="285"/>
      <c r="M58" s="330"/>
    </row>
    <row s="2885" customFormat="1" customHeight="1" ht="56.25" hidden="1">
      <c r="A59" s="1830" t="s">
        <v>162</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299</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885" customFormat="1" customHeight="1" ht="18.75" hidden="1">
      <c r="A60" s="1830"/>
      <c r="B60" s="369" t="s">
        <v>1676</v>
      </c>
      <c r="C60" s="2315"/>
      <c r="D60" s="2041"/>
      <c r="E60" s="2145"/>
      <c r="F60" s="2145"/>
      <c r="G60" s="406"/>
      <c r="H60" s="401" t="s">
        <v>1572</v>
      </c>
      <c r="I60" s="345"/>
      <c r="J60" s="407"/>
      <c r="K60" s="187"/>
      <c r="L60" s="2007"/>
      <c r="M60" s="330"/>
      <c r="N60" s="1670"/>
      <c r="O60" s="1670"/>
    </row>
    <row s="2885" customFormat="1" customHeight="1" ht="26.25" hidden="1">
      <c r="A61" s="1830" t="s">
        <v>168</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299</v>
      </c>
      <c r="L61" s="2008"/>
      <c r="M61" s="330"/>
      <c r="N61" s="1670"/>
      <c r="O61" s="1670"/>
    </row>
    <row s="2885" customFormat="1" customHeight="1" ht="18.75" hidden="1">
      <c r="A62" s="1830"/>
      <c r="B62" s="369" t="s">
        <v>1676</v>
      </c>
      <c r="C62" s="2315"/>
      <c r="D62" s="2041"/>
      <c r="E62" s="2145"/>
      <c r="F62" s="2145"/>
      <c r="G62" s="406"/>
      <c r="H62" s="401" t="s">
        <v>1572</v>
      </c>
      <c r="I62" s="345"/>
      <c r="J62" s="407"/>
      <c r="K62" s="187"/>
      <c r="L62" s="337"/>
      <c r="M62" s="330"/>
      <c r="N62" s="1670"/>
      <c r="O62" s="1670"/>
    </row>
    <row s="2885" customFormat="1" customHeight="1" ht="18.75" hidden="1">
      <c r="A63" s="1830" t="s">
        <v>174</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299</v>
      </c>
      <c r="L63" s="337"/>
      <c r="M63" s="330"/>
      <c r="N63" s="1670"/>
      <c r="O63" s="1670"/>
    </row>
    <row s="2885" customFormat="1" customHeight="1" ht="18.75" hidden="1">
      <c r="A64" s="1830"/>
      <c r="B64" s="369" t="s">
        <v>1676</v>
      </c>
      <c r="C64" s="2315"/>
      <c r="D64" s="2041"/>
      <c r="E64" s="2145"/>
      <c r="F64" s="2145"/>
      <c r="G64" s="406"/>
      <c r="H64" s="401" t="s">
        <v>1572</v>
      </c>
      <c r="I64" s="345"/>
      <c r="J64" s="407"/>
      <c r="K64" s="187"/>
      <c r="L64" s="337"/>
      <c r="M64" s="330"/>
      <c r="N64" s="1670"/>
      <c r="O64" s="1670"/>
    </row>
    <row s="2885" customFormat="1" customHeight="1" ht="41.25" hidden="1">
      <c r="A65" s="1830" t="s">
        <v>180</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299</v>
      </c>
      <c r="L65" s="337"/>
      <c r="M65" s="330"/>
      <c r="N65" s="1670"/>
      <c r="O65" s="1670"/>
    </row>
    <row s="2885" customFormat="1" customHeight="1" ht="18.75" hidden="1">
      <c r="A66" s="1830"/>
      <c r="B66" s="369" t="s">
        <v>1676</v>
      </c>
      <c r="C66" s="2315"/>
      <c r="D66" s="2041"/>
      <c r="E66" s="2145"/>
      <c r="F66" s="2145"/>
      <c r="G66" s="406"/>
      <c r="H66" s="401" t="s">
        <v>1572</v>
      </c>
      <c r="I66" s="345"/>
      <c r="J66" s="407"/>
      <c r="K66" s="187"/>
      <c r="L66" s="337"/>
      <c r="M66" s="330"/>
      <c r="N66" s="1670"/>
      <c r="O66" s="1670"/>
    </row>
    <row s="2885" customFormat="1" customHeight="1" ht="18.75" hidden="1">
      <c r="A67" s="1830" t="s">
        <v>186</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299</v>
      </c>
      <c r="L67" s="337"/>
      <c r="M67" s="330"/>
      <c r="N67" s="1670"/>
      <c r="O67" s="1670"/>
    </row>
    <row s="2885" customFormat="1" customHeight="1" ht="18.75" hidden="1">
      <c r="A68" s="1830"/>
      <c r="B68" s="369" t="s">
        <v>1676</v>
      </c>
      <c r="C68" s="2315"/>
      <c r="D68" s="2041"/>
      <c r="E68" s="2145"/>
      <c r="F68" s="2145"/>
      <c r="G68" s="406"/>
      <c r="H68" s="401" t="s">
        <v>1572</v>
      </c>
      <c r="I68" s="345"/>
      <c r="J68" s="407"/>
      <c r="K68" s="187"/>
      <c r="L68" s="337"/>
      <c r="M68" s="330"/>
      <c r="N68" s="1670"/>
      <c r="O68" s="1670"/>
    </row>
    <row s="2885" customFormat="1" customHeight="1" ht="18.75" hidden="1">
      <c r="A69" s="1830" t="s">
        <v>192</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299</v>
      </c>
      <c r="L69" s="337"/>
      <c r="M69" s="330"/>
      <c r="N69" s="1670"/>
      <c r="O69" s="1670"/>
    </row>
    <row s="2885" customFormat="1" customHeight="1" ht="18.75" hidden="1">
      <c r="A70" s="1830"/>
      <c r="B70" s="369" t="s">
        <v>1676</v>
      </c>
      <c r="C70" s="2315"/>
      <c r="D70" s="2041"/>
      <c r="E70" s="2145"/>
      <c r="F70" s="2145"/>
      <c r="G70" s="406"/>
      <c r="H70" s="401" t="s">
        <v>1572</v>
      </c>
      <c r="I70" s="345"/>
      <c r="J70" s="407"/>
      <c r="K70" s="187"/>
      <c r="L70" s="337"/>
      <c r="M70" s="330"/>
      <c r="N70" s="1670"/>
      <c r="O70" s="1670"/>
    </row>
    <row s="2885" customFormat="1" customHeight="1" ht="18.75" hidden="1">
      <c r="A71" s="1830" t="s">
        <v>198</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299</v>
      </c>
      <c r="L71" s="337"/>
      <c r="M71" s="330"/>
      <c r="N71" s="1670"/>
      <c r="O71" s="1670"/>
    </row>
    <row s="2885" customFormat="1" customHeight="1" ht="18.75" hidden="1">
      <c r="A72" s="1830"/>
      <c r="B72" s="369" t="s">
        <v>1676</v>
      </c>
      <c r="C72" s="2315"/>
      <c r="D72" s="2041"/>
      <c r="E72" s="2145"/>
      <c r="F72" s="2145"/>
      <c r="G72" s="406"/>
      <c r="H72" s="401" t="s">
        <v>1572</v>
      </c>
      <c r="I72" s="345"/>
      <c r="J72" s="407"/>
      <c r="K72" s="187"/>
      <c r="L72" s="337"/>
      <c r="M72" s="330"/>
      <c r="N72" s="1670"/>
      <c r="O72" s="1670"/>
    </row>
    <row s="2885" customFormat="1" customHeight="1" ht="18.75" hidden="1">
      <c r="A73" s="1830" t="s">
        <v>204</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
      </c>
      <c r="G73" s="1816"/>
      <c r="H73" s="1785"/>
      <c r="I73" s="1823"/>
      <c r="J73" s="1828"/>
      <c r="K73" s="1815" t="s">
        <v>299</v>
      </c>
      <c r="L73" s="337"/>
      <c r="M73" s="330"/>
      <c r="N73" s="1670"/>
      <c r="O73" s="1670"/>
    </row>
    <row s="2885" customFormat="1" customHeight="1" ht="18.75" hidden="1">
      <c r="A74" s="1830"/>
      <c r="B74" s="369" t="s">
        <v>1676</v>
      </c>
      <c r="C74" s="2315"/>
      <c r="D74" s="2041"/>
      <c r="E74" s="2145"/>
      <c r="F74" s="2145"/>
      <c r="G74" s="406"/>
      <c r="H74" s="401" t="s">
        <v>1572</v>
      </c>
      <c r="I74" s="345"/>
      <c r="J74" s="407"/>
      <c r="K74" s="187"/>
      <c r="L74" s="337"/>
      <c r="M74" s="330"/>
      <c r="N74" s="1670"/>
      <c r="O74" s="1670"/>
    </row>
    <row s="2885" customFormat="1" customHeight="1" ht="18.75" hidden="1">
      <c r="A75" s="1830" t="s">
        <v>218</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299</v>
      </c>
      <c r="L75" s="337"/>
      <c r="M75" s="330"/>
      <c r="N75" s="1670"/>
      <c r="O75" s="1670"/>
    </row>
    <row s="2885" customFormat="1" customHeight="1" ht="18.75" hidden="1">
      <c r="A76" s="1830"/>
      <c r="B76" s="369" t="s">
        <v>1676</v>
      </c>
      <c r="C76" s="2315"/>
      <c r="D76" s="2041"/>
      <c r="E76" s="2145"/>
      <c r="F76" s="2145"/>
      <c r="G76" s="406"/>
      <c r="H76" s="401" t="s">
        <v>1572</v>
      </c>
      <c r="I76" s="345"/>
      <c r="J76" s="407"/>
      <c r="K76" s="187"/>
      <c r="L76" s="337"/>
      <c r="M76" s="330"/>
      <c r="N76" s="1670"/>
      <c r="O76" s="1670"/>
    </row>
    <row s="2885" customFormat="1" customHeight="1" ht="18.75" hidden="1">
      <c r="A77" s="1830" t="s">
        <v>223</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299</v>
      </c>
      <c r="L77" s="337"/>
      <c r="M77" s="330"/>
      <c r="N77" s="1670"/>
      <c r="O77" s="1670"/>
    </row>
    <row s="2885" customFormat="1" customHeight="1" ht="18.75" hidden="1">
      <c r="A78" s="1830"/>
      <c r="B78" s="369" t="s">
        <v>1676</v>
      </c>
      <c r="C78" s="2315"/>
      <c r="D78" s="2041"/>
      <c r="E78" s="2145"/>
      <c r="F78" s="2145"/>
      <c r="G78" s="406"/>
      <c r="H78" s="401" t="s">
        <v>1572</v>
      </c>
      <c r="I78" s="345"/>
      <c r="J78" s="407"/>
      <c r="K78" s="187"/>
      <c r="L78" s="337"/>
      <c r="M78" s="330"/>
      <c r="N78" s="1670"/>
      <c r="O78" s="1670"/>
    </row>
    <row s="2885" customFormat="1" customHeight="1" ht="18.75" hidden="1">
      <c r="A79" s="1830" t="s">
        <v>228</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299</v>
      </c>
      <c r="L79" s="337"/>
      <c r="M79" s="330"/>
      <c r="N79" s="1670"/>
      <c r="O79" s="1670"/>
    </row>
    <row s="2885" customFormat="1" customHeight="1" ht="18.75" hidden="1">
      <c r="A80" s="1830"/>
      <c r="B80" s="369" t="s">
        <v>1676</v>
      </c>
      <c r="C80" s="2315"/>
      <c r="D80" s="2041"/>
      <c r="E80" s="2145"/>
      <c r="F80" s="2145"/>
      <c r="G80" s="406"/>
      <c r="H80" s="401" t="s">
        <v>1572</v>
      </c>
      <c r="I80" s="345"/>
      <c r="J80" s="407"/>
      <c r="K80" s="187"/>
      <c r="L80" s="337"/>
      <c r="M80" s="330"/>
      <c r="N80" s="1670"/>
      <c r="O80" s="1670"/>
    </row>
    <row s="2885" customFormat="1" customHeight="1" ht="18.75" hidden="1">
      <c r="A81" s="1830" t="s">
        <v>233</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299</v>
      </c>
      <c r="L81" s="337"/>
      <c r="M81" s="330"/>
      <c r="N81" s="1670"/>
      <c r="O81" s="1670"/>
    </row>
    <row s="2885" customFormat="1" customHeight="1" ht="18.75" hidden="1">
      <c r="A82" s="1830"/>
      <c r="B82" s="369" t="s">
        <v>1676</v>
      </c>
      <c r="C82" s="2315"/>
      <c r="D82" s="2041"/>
      <c r="E82" s="2145"/>
      <c r="F82" s="2145"/>
      <c r="G82" s="406"/>
      <c r="H82" s="401" t="s">
        <v>1572</v>
      </c>
      <c r="I82" s="345"/>
      <c r="J82" s="407"/>
      <c r="K82" s="187"/>
      <c r="L82" s="337"/>
      <c r="M82" s="330"/>
      <c r="N82" s="1670"/>
      <c r="O82" s="1670"/>
    </row>
    <row s="2885" customFormat="1" customHeight="1" ht="18.75" hidden="1">
      <c r="A83" s="1830" t="s">
        <v>238</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
      </c>
      <c r="G83" s="1816"/>
      <c r="H83" s="1785"/>
      <c r="I83" s="1823"/>
      <c r="J83" s="1828"/>
      <c r="K83" s="1815" t="s">
        <v>299</v>
      </c>
      <c r="L83" s="337"/>
      <c r="M83" s="330"/>
      <c r="N83" s="1670"/>
      <c r="O83" s="1670"/>
    </row>
    <row s="2885" customFormat="1" customHeight="1" ht="18.75" hidden="1">
      <c r="A84" s="1830"/>
      <c r="B84" s="369" t="s">
        <v>1676</v>
      </c>
      <c r="C84" s="2315"/>
      <c r="D84" s="2041"/>
      <c r="E84" s="2145"/>
      <c r="F84" s="2145"/>
      <c r="G84" s="406"/>
      <c r="H84" s="401" t="s">
        <v>1572</v>
      </c>
      <c r="I84" s="345"/>
      <c r="J84" s="407"/>
      <c r="K84" s="187"/>
      <c r="L84" s="337"/>
      <c r="M84" s="330"/>
      <c r="N84" s="1670"/>
      <c r="O84" s="1670"/>
    </row>
    <row s="2885" customFormat="1" customHeight="1" ht="18.75" hidden="1">
      <c r="A85" s="1830" t="s">
        <v>243</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299</v>
      </c>
      <c r="L85" s="337"/>
      <c r="M85" s="330"/>
      <c r="N85" s="1670"/>
      <c r="O85" s="1670"/>
    </row>
    <row s="2885" customFormat="1" customHeight="1" ht="18.75" hidden="1">
      <c r="A86" s="1830"/>
      <c r="B86" s="369" t="s">
        <v>1676</v>
      </c>
      <c r="C86" s="2315"/>
      <c r="D86" s="2041"/>
      <c r="E86" s="2145"/>
      <c r="F86" s="2145"/>
      <c r="G86" s="406"/>
      <c r="H86" s="401" t="s">
        <v>1572</v>
      </c>
      <c r="I86" s="345"/>
      <c r="J86" s="407"/>
      <c r="K86" s="187"/>
      <c r="L86" s="337"/>
      <c r="M86" s="330"/>
      <c r="N86" s="1670"/>
      <c r="O86" s="1670"/>
    </row>
    <row s="2885" customFormat="1" customHeight="1" ht="18.75" hidden="1">
      <c r="A87" s="1830" t="s">
        <v>248</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299</v>
      </c>
      <c r="L87" s="337"/>
      <c r="M87" s="330"/>
      <c r="N87" s="1670"/>
      <c r="O87" s="1670"/>
    </row>
    <row s="2885" customFormat="1" customHeight="1" ht="18.75" hidden="1">
      <c r="A88" s="1830"/>
      <c r="B88" s="369" t="s">
        <v>1676</v>
      </c>
      <c r="C88" s="2315"/>
      <c r="D88" s="2041"/>
      <c r="E88" s="2145"/>
      <c r="F88" s="2145"/>
      <c r="G88" s="406"/>
      <c r="H88" s="401" t="s">
        <v>1572</v>
      </c>
      <c r="I88" s="345"/>
      <c r="J88" s="407"/>
      <c r="K88" s="187"/>
      <c r="L88" s="337"/>
      <c r="M88" s="330"/>
      <c r="N88" s="1670"/>
      <c r="O88" s="1670"/>
    </row>
    <row s="2885" customFormat="1" customHeight="1" ht="18.75" hidden="1">
      <c r="A89" s="1830" t="s">
        <v>253</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299</v>
      </c>
      <c r="L89" s="337"/>
      <c r="M89" s="330"/>
      <c r="N89" s="1670"/>
      <c r="O89" s="1670"/>
    </row>
    <row s="2885" customFormat="1" customHeight="1" ht="18.75" hidden="1">
      <c r="A90" s="1830"/>
      <c r="B90" s="369" t="s">
        <v>1676</v>
      </c>
      <c r="C90" s="2315"/>
      <c r="D90" s="2041"/>
      <c r="E90" s="2145"/>
      <c r="F90" s="2145"/>
      <c r="G90" s="406"/>
      <c r="H90" s="401" t="s">
        <v>1572</v>
      </c>
      <c r="I90" s="345"/>
      <c r="J90" s="407"/>
      <c r="K90" s="187"/>
      <c r="L90" s="337"/>
      <c r="M90" s="330"/>
      <c r="N90" s="1670"/>
      <c r="O90" s="1670"/>
    </row>
    <row s="2885" customFormat="1" customHeight="1" ht="18.75" hidden="1">
      <c r="A91" s="1830" t="s">
        <v>258</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299</v>
      </c>
      <c r="L91" s="337"/>
      <c r="M91" s="330"/>
      <c r="N91" s="1670"/>
      <c r="O91" s="1670"/>
    </row>
    <row s="2885" customFormat="1" customHeight="1" ht="18.75" hidden="1">
      <c r="A92" s="1830"/>
      <c r="B92" s="369" t="s">
        <v>1676</v>
      </c>
      <c r="C92" s="2315"/>
      <c r="D92" s="2041"/>
      <c r="E92" s="2145"/>
      <c r="F92" s="2145"/>
      <c r="G92" s="406"/>
      <c r="H92" s="401" t="s">
        <v>1572</v>
      </c>
      <c r="I92" s="345"/>
      <c r="J92" s="407"/>
      <c r="K92" s="187"/>
      <c r="L92" s="337"/>
      <c r="M92" s="330"/>
      <c r="N92" s="1670"/>
      <c r="O92" s="1670"/>
    </row>
    <row s="2885" customFormat="1" customHeight="1" ht="18.75" hidden="1">
      <c r="A93" s="1830" t="s">
        <v>263</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299</v>
      </c>
      <c r="L93" s="337"/>
      <c r="M93" s="330"/>
      <c r="N93" s="1670"/>
      <c r="O93" s="1670"/>
    </row>
    <row s="2885" customFormat="1" customHeight="1" ht="18.75" hidden="1">
      <c r="A94" s="1830"/>
      <c r="B94" s="369" t="s">
        <v>1676</v>
      </c>
      <c r="C94" s="2315"/>
      <c r="D94" s="2041"/>
      <c r="E94" s="2145"/>
      <c r="F94" s="2145"/>
      <c r="G94" s="406"/>
      <c r="H94" s="401" t="s">
        <v>1572</v>
      </c>
      <c r="I94" s="345"/>
      <c r="J94" s="407"/>
      <c r="K94" s="187"/>
      <c r="L94" s="337"/>
      <c r="M94" s="330"/>
      <c r="N94" s="1670"/>
      <c r="O94" s="1670"/>
    </row>
    <row s="2885" customFormat="1" customHeight="1" ht="18.75" hidden="1">
      <c r="A95" s="1830" t="s">
        <v>268</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
      </c>
      <c r="G95" s="1816"/>
      <c r="H95" s="1785"/>
      <c r="I95" s="1823"/>
      <c r="J95" s="1828"/>
      <c r="K95" s="1815" t="s">
        <v>299</v>
      </c>
      <c r="L95" s="337"/>
      <c r="M95" s="330"/>
      <c r="N95" s="1670"/>
      <c r="O95" s="1670"/>
    </row>
    <row s="2885" customFormat="1" customHeight="1" ht="18.75" hidden="1">
      <c r="A96" s="1830"/>
      <c r="B96" s="369" t="s">
        <v>1676</v>
      </c>
      <c r="C96" s="2315"/>
      <c r="D96" s="2041"/>
      <c r="E96" s="2145"/>
      <c r="F96" s="2145"/>
      <c r="G96" s="406"/>
      <c r="H96" s="401" t="s">
        <v>1572</v>
      </c>
      <c r="I96" s="345"/>
      <c r="J96" s="407"/>
      <c r="K96" s="187"/>
      <c r="L96" s="337"/>
      <c r="M96" s="330"/>
      <c r="N96" s="1670"/>
      <c r="O96" s="1670"/>
    </row>
    <row customHeight="1" ht="18.75">
      <c r="A97" s="1830"/>
      <c r="C97" s="377"/>
      <c r="D97" s="133" t="s">
        <v>91</v>
      </c>
      <c r="E97" s="2303" t="str">
        <f>"Годовой объем "&amp;IF(TEMPLATE_SPHERE="HEAT","полезного отпуска тепловой энергии (теплоносителя)","потребителям воды")</f>
        <v>Годовой объем потребителям воды</v>
      </c>
      <c r="F97" s="2303"/>
      <c r="G97" s="2303"/>
      <c r="H97" s="2303"/>
      <c r="I97" s="2303"/>
      <c r="J97" s="2303"/>
      <c r="K97" s="2303"/>
      <c r="L97" s="285"/>
      <c r="M97" s="330"/>
    </row>
    <row s="2885" customFormat="1" customHeight="1" ht="56.25" hidden="1">
      <c r="A98" s="1830" t="s">
        <v>162</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299</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30"/>
      <c r="N98" s="1670"/>
      <c r="O98" s="1670"/>
    </row>
    <row s="2885" customFormat="1" customHeight="1" ht="18.75" hidden="1">
      <c r="A99" s="1830"/>
      <c r="B99" s="369" t="s">
        <v>1676</v>
      </c>
      <c r="C99" s="2315"/>
      <c r="D99" s="2041"/>
      <c r="E99" s="2145"/>
      <c r="F99" s="2145"/>
      <c r="G99" s="406"/>
      <c r="H99" s="401" t="s">
        <v>1572</v>
      </c>
      <c r="I99" s="345"/>
      <c r="J99" s="407"/>
      <c r="K99" s="187"/>
      <c r="L99" s="2007"/>
      <c r="M99" s="330"/>
      <c r="N99" s="1670"/>
      <c r="O99" s="1670"/>
    </row>
    <row s="2885" customFormat="1" customHeight="1" ht="26.25" hidden="1">
      <c r="A100" s="1830" t="s">
        <v>168</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299</v>
      </c>
      <c r="L100" s="2008"/>
      <c r="M100" s="330"/>
      <c r="N100" s="1670"/>
      <c r="O100" s="1670"/>
    </row>
    <row s="2885" customFormat="1" customHeight="1" ht="18.75" hidden="1">
      <c r="A101" s="1830"/>
      <c r="B101" s="369" t="s">
        <v>1676</v>
      </c>
      <c r="C101" s="2315"/>
      <c r="D101" s="2041"/>
      <c r="E101" s="2145"/>
      <c r="F101" s="2145"/>
      <c r="G101" s="406"/>
      <c r="H101" s="401" t="s">
        <v>1572</v>
      </c>
      <c r="I101" s="345"/>
      <c r="J101" s="407"/>
      <c r="K101" s="187"/>
      <c r="L101" s="337"/>
      <c r="M101" s="330"/>
      <c r="N101" s="1670"/>
      <c r="O101" s="1670"/>
    </row>
    <row s="2885" customFormat="1" customHeight="1" ht="18.75" hidden="1">
      <c r="A102" s="1830" t="s">
        <v>174</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299</v>
      </c>
      <c r="L102" s="337"/>
      <c r="M102" s="330"/>
      <c r="N102" s="1670"/>
      <c r="O102" s="1670"/>
    </row>
    <row s="2885" customFormat="1" customHeight="1" ht="18.75" hidden="1">
      <c r="A103" s="1830"/>
      <c r="B103" s="369" t="s">
        <v>1676</v>
      </c>
      <c r="C103" s="2315"/>
      <c r="D103" s="2041"/>
      <c r="E103" s="2145"/>
      <c r="F103" s="2145"/>
      <c r="G103" s="406"/>
      <c r="H103" s="401" t="s">
        <v>1572</v>
      </c>
      <c r="I103" s="345"/>
      <c r="J103" s="407"/>
      <c r="K103" s="187"/>
      <c r="L103" s="337"/>
      <c r="M103" s="330"/>
      <c r="N103" s="1670"/>
      <c r="O103" s="1670"/>
    </row>
    <row s="2885" customFormat="1" customHeight="1" ht="41.25" hidden="1">
      <c r="A104" s="1830" t="s">
        <v>180</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299</v>
      </c>
      <c r="L104" s="337"/>
      <c r="M104" s="330"/>
      <c r="N104" s="1670"/>
      <c r="O104" s="1670"/>
    </row>
    <row s="2885" customFormat="1" customHeight="1" ht="18.75" hidden="1">
      <c r="A105" s="1830"/>
      <c r="B105" s="369" t="s">
        <v>1676</v>
      </c>
      <c r="C105" s="2315"/>
      <c r="D105" s="2041"/>
      <c r="E105" s="2145"/>
      <c r="F105" s="2145"/>
      <c r="G105" s="406"/>
      <c r="H105" s="401" t="s">
        <v>1572</v>
      </c>
      <c r="I105" s="345"/>
      <c r="J105" s="407"/>
      <c r="K105" s="187"/>
      <c r="L105" s="337"/>
      <c r="M105" s="330"/>
      <c r="N105" s="1670"/>
      <c r="O105" s="1670"/>
    </row>
    <row s="2885" customFormat="1" customHeight="1" ht="18.75" hidden="1">
      <c r="A106" s="1830" t="s">
        <v>186</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299</v>
      </c>
      <c r="L106" s="337"/>
      <c r="M106" s="330"/>
      <c r="N106" s="1670"/>
      <c r="O106" s="1670"/>
    </row>
    <row s="2885" customFormat="1" customHeight="1" ht="18.75" hidden="1">
      <c r="A107" s="1830"/>
      <c r="B107" s="369" t="s">
        <v>1676</v>
      </c>
      <c r="C107" s="2315"/>
      <c r="D107" s="2041"/>
      <c r="E107" s="2145"/>
      <c r="F107" s="2145"/>
      <c r="G107" s="406"/>
      <c r="H107" s="401" t="s">
        <v>1572</v>
      </c>
      <c r="I107" s="345"/>
      <c r="J107" s="407"/>
      <c r="K107" s="187"/>
      <c r="L107" s="337"/>
      <c r="M107" s="330"/>
      <c r="N107" s="1670"/>
      <c r="O107" s="1670"/>
    </row>
    <row s="2885" customFormat="1" customHeight="1" ht="18.75" hidden="1">
      <c r="A108" s="1830" t="s">
        <v>192</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299</v>
      </c>
      <c r="L108" s="337"/>
      <c r="M108" s="330"/>
      <c r="N108" s="1670"/>
      <c r="O108" s="1670"/>
    </row>
    <row s="2885" customFormat="1" customHeight="1" ht="18.75" hidden="1">
      <c r="A109" s="1830"/>
      <c r="B109" s="369" t="s">
        <v>1676</v>
      </c>
      <c r="C109" s="2315"/>
      <c r="D109" s="2041"/>
      <c r="E109" s="2145"/>
      <c r="F109" s="2145"/>
      <c r="G109" s="406"/>
      <c r="H109" s="401" t="s">
        <v>1572</v>
      </c>
      <c r="I109" s="345"/>
      <c r="J109" s="407"/>
      <c r="K109" s="187"/>
      <c r="L109" s="337"/>
      <c r="M109" s="330"/>
      <c r="N109" s="1670"/>
      <c r="O109" s="1670"/>
    </row>
    <row s="2885" customFormat="1" customHeight="1" ht="18.75" hidden="1">
      <c r="A110" s="1830" t="s">
        <v>198</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299</v>
      </c>
      <c r="L110" s="337"/>
      <c r="M110" s="330"/>
      <c r="N110" s="1670"/>
      <c r="O110" s="1670"/>
    </row>
    <row s="2885" customFormat="1" customHeight="1" ht="18.75" hidden="1">
      <c r="A111" s="1830"/>
      <c r="B111" s="369" t="s">
        <v>1676</v>
      </c>
      <c r="C111" s="2315"/>
      <c r="D111" s="2041"/>
      <c r="E111" s="2145"/>
      <c r="F111" s="2145"/>
      <c r="G111" s="406"/>
      <c r="H111" s="401" t="s">
        <v>1572</v>
      </c>
      <c r="I111" s="345"/>
      <c r="J111" s="407"/>
      <c r="K111" s="187"/>
      <c r="L111" s="337"/>
      <c r="M111" s="330"/>
      <c r="N111" s="1670"/>
      <c r="O111" s="1670"/>
    </row>
    <row s="2885" customFormat="1" customHeight="1" ht="18.75" hidden="1">
      <c r="A112" s="1830" t="s">
        <v>204</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
      </c>
      <c r="G112" s="1816"/>
      <c r="H112" s="1785"/>
      <c r="I112" s="1823"/>
      <c r="J112" s="1828"/>
      <c r="K112" s="1815" t="s">
        <v>299</v>
      </c>
      <c r="L112" s="337"/>
      <c r="M112" s="330"/>
      <c r="N112" s="1670"/>
      <c r="O112" s="1670"/>
    </row>
    <row s="2885" customFormat="1" customHeight="1" ht="18.75" hidden="1">
      <c r="A113" s="1830"/>
      <c r="B113" s="369" t="s">
        <v>1676</v>
      </c>
      <c r="C113" s="2315"/>
      <c r="D113" s="2041"/>
      <c r="E113" s="2145"/>
      <c r="F113" s="2145"/>
      <c r="G113" s="406"/>
      <c r="H113" s="401" t="s">
        <v>1572</v>
      </c>
      <c r="I113" s="345"/>
      <c r="J113" s="407"/>
      <c r="K113" s="187"/>
      <c r="L113" s="337"/>
      <c r="M113" s="330"/>
      <c r="N113" s="1670"/>
      <c r="O113" s="1670"/>
    </row>
    <row s="2885" customFormat="1" customHeight="1" ht="18.75" hidden="1">
      <c r="A114" s="1830" t="s">
        <v>218</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299</v>
      </c>
      <c r="L114" s="337"/>
      <c r="M114" s="330"/>
      <c r="N114" s="1670"/>
      <c r="O114" s="1670"/>
    </row>
    <row s="2885" customFormat="1" customHeight="1" ht="18.75" hidden="1">
      <c r="A115" s="1830"/>
      <c r="B115" s="369" t="s">
        <v>1676</v>
      </c>
      <c r="C115" s="2315"/>
      <c r="D115" s="2041"/>
      <c r="E115" s="2145"/>
      <c r="F115" s="2145"/>
      <c r="G115" s="406"/>
      <c r="H115" s="401" t="s">
        <v>1572</v>
      </c>
      <c r="I115" s="345"/>
      <c r="J115" s="407"/>
      <c r="K115" s="187"/>
      <c r="L115" s="337"/>
      <c r="M115" s="330"/>
      <c r="N115" s="1670"/>
      <c r="O115" s="1670"/>
    </row>
    <row s="2885" customFormat="1" customHeight="1" ht="18.75" hidden="1">
      <c r="A116" s="1830" t="s">
        <v>223</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299</v>
      </c>
      <c r="L116" s="337"/>
      <c r="M116" s="330"/>
      <c r="N116" s="1670"/>
      <c r="O116" s="1670"/>
    </row>
    <row s="2885" customFormat="1" customHeight="1" ht="18.75" hidden="1">
      <c r="A117" s="1830"/>
      <c r="B117" s="369" t="s">
        <v>1676</v>
      </c>
      <c r="C117" s="2315"/>
      <c r="D117" s="2041"/>
      <c r="E117" s="2145"/>
      <c r="F117" s="2145"/>
      <c r="G117" s="406"/>
      <c r="H117" s="401" t="s">
        <v>1572</v>
      </c>
      <c r="I117" s="345"/>
      <c r="J117" s="407"/>
      <c r="K117" s="187"/>
      <c r="L117" s="337"/>
      <c r="M117" s="330"/>
      <c r="N117" s="1670"/>
      <c r="O117" s="1670"/>
    </row>
    <row s="2885" customFormat="1" customHeight="1" ht="18.75" hidden="1">
      <c r="A118" s="1830" t="s">
        <v>228</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299</v>
      </c>
      <c r="L118" s="337"/>
      <c r="M118" s="330"/>
      <c r="N118" s="1670"/>
      <c r="O118" s="1670"/>
    </row>
    <row s="2885" customFormat="1" customHeight="1" ht="18.75" hidden="1">
      <c r="A119" s="1830"/>
      <c r="B119" s="369" t="s">
        <v>1676</v>
      </c>
      <c r="C119" s="2315"/>
      <c r="D119" s="2041"/>
      <c r="E119" s="2145"/>
      <c r="F119" s="2145"/>
      <c r="G119" s="406"/>
      <c r="H119" s="401" t="s">
        <v>1572</v>
      </c>
      <c r="I119" s="345"/>
      <c r="J119" s="407"/>
      <c r="K119" s="187"/>
      <c r="L119" s="337"/>
      <c r="M119" s="330"/>
      <c r="N119" s="1670"/>
      <c r="O119" s="1670"/>
    </row>
    <row s="2885" customFormat="1" customHeight="1" ht="18.75" hidden="1">
      <c r="A120" s="1830" t="s">
        <v>233</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299</v>
      </c>
      <c r="L120" s="337"/>
      <c r="M120" s="330"/>
      <c r="N120" s="1670"/>
      <c r="O120" s="1670"/>
    </row>
    <row s="2885" customFormat="1" customHeight="1" ht="18.75" hidden="1">
      <c r="A121" s="1830"/>
      <c r="B121" s="369" t="s">
        <v>1676</v>
      </c>
      <c r="C121" s="2315"/>
      <c r="D121" s="2041"/>
      <c r="E121" s="2145"/>
      <c r="F121" s="2145"/>
      <c r="G121" s="406"/>
      <c r="H121" s="401" t="s">
        <v>1572</v>
      </c>
      <c r="I121" s="345"/>
      <c r="J121" s="407"/>
      <c r="K121" s="187"/>
      <c r="L121" s="337"/>
      <c r="M121" s="330"/>
      <c r="N121" s="1670"/>
      <c r="O121" s="1670"/>
    </row>
    <row s="2885" customFormat="1" customHeight="1" ht="18.75" hidden="1">
      <c r="A122" s="1830" t="s">
        <v>238</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
      </c>
      <c r="G122" s="1816"/>
      <c r="H122" s="1785"/>
      <c r="I122" s="1823"/>
      <c r="J122" s="1828"/>
      <c r="K122" s="1815" t="s">
        <v>299</v>
      </c>
      <c r="L122" s="337"/>
      <c r="M122" s="330"/>
      <c r="N122" s="1670"/>
      <c r="O122" s="1670"/>
    </row>
    <row s="2885" customFormat="1" customHeight="1" ht="18.75" hidden="1">
      <c r="A123" s="1830"/>
      <c r="B123" s="369" t="s">
        <v>1676</v>
      </c>
      <c r="C123" s="2315"/>
      <c r="D123" s="2041"/>
      <c r="E123" s="2145"/>
      <c r="F123" s="2145"/>
      <c r="G123" s="406"/>
      <c r="H123" s="401" t="s">
        <v>1572</v>
      </c>
      <c r="I123" s="345"/>
      <c r="J123" s="407"/>
      <c r="K123" s="187"/>
      <c r="L123" s="337"/>
      <c r="M123" s="330"/>
      <c r="N123" s="1670"/>
      <c r="O123" s="1670"/>
    </row>
    <row s="2885" customFormat="1" customHeight="1" ht="18.75" hidden="1">
      <c r="A124" s="1830" t="s">
        <v>243</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299</v>
      </c>
      <c r="L124" s="337"/>
      <c r="M124" s="330"/>
      <c r="N124" s="1670"/>
      <c r="O124" s="1670"/>
    </row>
    <row s="2885" customFormat="1" customHeight="1" ht="18.75" hidden="1">
      <c r="A125" s="1830"/>
      <c r="B125" s="369" t="s">
        <v>1676</v>
      </c>
      <c r="C125" s="2315"/>
      <c r="D125" s="2041"/>
      <c r="E125" s="2145"/>
      <c r="F125" s="2145"/>
      <c r="G125" s="406"/>
      <c r="H125" s="401" t="s">
        <v>1572</v>
      </c>
      <c r="I125" s="345"/>
      <c r="J125" s="407"/>
      <c r="K125" s="187"/>
      <c r="L125" s="337"/>
      <c r="M125" s="330"/>
      <c r="N125" s="1670"/>
      <c r="O125" s="1670"/>
    </row>
    <row s="2885" customFormat="1" customHeight="1" ht="18.75" hidden="1">
      <c r="A126" s="1830" t="s">
        <v>248</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299</v>
      </c>
      <c r="L126" s="337"/>
      <c r="M126" s="330"/>
      <c r="N126" s="1670"/>
      <c r="O126" s="1670"/>
    </row>
    <row s="2885" customFormat="1" customHeight="1" ht="18.75" hidden="1">
      <c r="A127" s="1830"/>
      <c r="B127" s="369" t="s">
        <v>1676</v>
      </c>
      <c r="C127" s="2315"/>
      <c r="D127" s="2041"/>
      <c r="E127" s="2145"/>
      <c r="F127" s="2145"/>
      <c r="G127" s="406"/>
      <c r="H127" s="401" t="s">
        <v>1572</v>
      </c>
      <c r="I127" s="345"/>
      <c r="J127" s="407"/>
      <c r="K127" s="187"/>
      <c r="L127" s="337"/>
      <c r="M127" s="330"/>
      <c r="N127" s="1670"/>
      <c r="O127" s="1670"/>
    </row>
    <row s="2885" customFormat="1" customHeight="1" ht="18.75" hidden="1">
      <c r="A128" s="1830" t="s">
        <v>253</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299</v>
      </c>
      <c r="L128" s="337"/>
      <c r="M128" s="330"/>
      <c r="N128" s="1670"/>
      <c r="O128" s="1670"/>
    </row>
    <row s="2885" customFormat="1" customHeight="1" ht="18.75" hidden="1">
      <c r="A129" s="1830"/>
      <c r="B129" s="369" t="s">
        <v>1676</v>
      </c>
      <c r="C129" s="2315"/>
      <c r="D129" s="2041"/>
      <c r="E129" s="2145"/>
      <c r="F129" s="2145"/>
      <c r="G129" s="406"/>
      <c r="H129" s="401" t="s">
        <v>1572</v>
      </c>
      <c r="I129" s="345"/>
      <c r="J129" s="407"/>
      <c r="K129" s="187"/>
      <c r="L129" s="337"/>
      <c r="M129" s="330"/>
      <c r="N129" s="1670"/>
      <c r="O129" s="1670"/>
    </row>
    <row s="2885" customFormat="1" customHeight="1" ht="18.75" hidden="1">
      <c r="A130" s="1830" t="s">
        <v>258</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299</v>
      </c>
      <c r="L130" s="337"/>
      <c r="M130" s="330"/>
      <c r="N130" s="1670"/>
      <c r="O130" s="1670"/>
    </row>
    <row s="2885" customFormat="1" customHeight="1" ht="18.75" hidden="1">
      <c r="A131" s="1830"/>
      <c r="B131" s="369" t="s">
        <v>1676</v>
      </c>
      <c r="C131" s="2315"/>
      <c r="D131" s="2041"/>
      <c r="E131" s="2145"/>
      <c r="F131" s="2145"/>
      <c r="G131" s="406"/>
      <c r="H131" s="401" t="s">
        <v>1572</v>
      </c>
      <c r="I131" s="345"/>
      <c r="J131" s="407"/>
      <c r="K131" s="187"/>
      <c r="L131" s="337"/>
      <c r="M131" s="330"/>
      <c r="N131" s="1670"/>
      <c r="O131" s="1670"/>
    </row>
    <row s="2885" customFormat="1" customHeight="1" ht="18.75" hidden="1">
      <c r="A132" s="1830" t="s">
        <v>263</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299</v>
      </c>
      <c r="L132" s="337"/>
      <c r="M132" s="330"/>
      <c r="N132" s="1670"/>
      <c r="O132" s="1670"/>
    </row>
    <row s="2885" customFormat="1" customHeight="1" ht="18.75" hidden="1">
      <c r="A133" s="1830"/>
      <c r="B133" s="369" t="s">
        <v>1676</v>
      </c>
      <c r="C133" s="2315"/>
      <c r="D133" s="2041"/>
      <c r="E133" s="2145"/>
      <c r="F133" s="2145"/>
      <c r="G133" s="406"/>
      <c r="H133" s="401" t="s">
        <v>1572</v>
      </c>
      <c r="I133" s="345"/>
      <c r="J133" s="407"/>
      <c r="K133" s="187"/>
      <c r="L133" s="337"/>
      <c r="M133" s="330"/>
      <c r="N133" s="1670"/>
      <c r="O133" s="1670"/>
    </row>
    <row s="2885" customFormat="1" customHeight="1" ht="18.75" hidden="1">
      <c r="A134" s="1830" t="s">
        <v>268</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
      </c>
      <c r="G134" s="1816"/>
      <c r="H134" s="1785"/>
      <c r="I134" s="1823"/>
      <c r="J134" s="1828"/>
      <c r="K134" s="1815" t="s">
        <v>299</v>
      </c>
      <c r="L134" s="337"/>
      <c r="M134" s="330"/>
      <c r="N134" s="1670"/>
      <c r="O134" s="1670"/>
    </row>
    <row s="2885" customFormat="1" customHeight="1" ht="18.75" hidden="1">
      <c r="A135" s="1830"/>
      <c r="B135" s="369" t="s">
        <v>1676</v>
      </c>
      <c r="C135" s="2315"/>
      <c r="D135" s="2041"/>
      <c r="E135" s="2145"/>
      <c r="F135" s="2145"/>
      <c r="G135" s="406"/>
      <c r="H135" s="401" t="s">
        <v>1572</v>
      </c>
      <c r="I135" s="345"/>
      <c r="J135" s="407"/>
      <c r="K135" s="187"/>
      <c r="L135" s="337"/>
      <c r="M135" s="330"/>
      <c r="N135" s="1670"/>
      <c r="O135" s="1670"/>
    </row>
    <row customHeight="1" ht="26.25">
      <c r="A136" s="1830"/>
      <c r="C136" s="377"/>
      <c r="D136" s="133" t="s">
        <v>111</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303"/>
      <c r="G136" s="2303"/>
      <c r="H136" s="2303"/>
      <c r="I136" s="2303"/>
      <c r="J136" s="2303"/>
      <c r="K136" s="2303"/>
      <c r="L136" s="285"/>
      <c r="M136" s="330"/>
    </row>
    <row s="2885" customFormat="1" customHeight="1" ht="56.25" hidden="1">
      <c r="A137" s="1830" t="s">
        <v>162</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299</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M137" s="330"/>
      <c r="N137" s="1670"/>
      <c r="O137" s="1670"/>
    </row>
    <row s="2885" customFormat="1" customHeight="1" ht="18.75" hidden="1">
      <c r="A138" s="1830"/>
      <c r="B138" s="369" t="s">
        <v>1676</v>
      </c>
      <c r="C138" s="2315"/>
      <c r="D138" s="2041"/>
      <c r="E138" s="2145"/>
      <c r="F138" s="2145"/>
      <c r="G138" s="406"/>
      <c r="H138" s="401" t="s">
        <v>1572</v>
      </c>
      <c r="I138" s="345"/>
      <c r="J138" s="407"/>
      <c r="K138" s="187"/>
      <c r="L138" s="2007"/>
      <c r="M138" s="330"/>
      <c r="N138" s="1670"/>
      <c r="O138" s="1670"/>
    </row>
    <row s="2885" customFormat="1" customHeight="1" ht="26.25" hidden="1">
      <c r="A139" s="1830" t="s">
        <v>168</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299</v>
      </c>
      <c r="L139" s="2008"/>
      <c r="M139" s="330"/>
      <c r="N139" s="1670"/>
      <c r="O139" s="1670"/>
    </row>
    <row s="2885" customFormat="1" customHeight="1" ht="18.75" hidden="1">
      <c r="A140" s="1830"/>
      <c r="B140" s="369" t="s">
        <v>1676</v>
      </c>
      <c r="C140" s="2315"/>
      <c r="D140" s="2041"/>
      <c r="E140" s="2145"/>
      <c r="F140" s="2145"/>
      <c r="G140" s="406"/>
      <c r="H140" s="401" t="s">
        <v>1572</v>
      </c>
      <c r="I140" s="345"/>
      <c r="J140" s="407"/>
      <c r="K140" s="187"/>
      <c r="L140" s="337"/>
      <c r="M140" s="330"/>
      <c r="N140" s="1670"/>
      <c r="O140" s="1670"/>
    </row>
    <row s="2885" customFormat="1" customHeight="1" ht="18.75" hidden="1">
      <c r="A141" s="1830" t="s">
        <v>174</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299</v>
      </c>
      <c r="L141" s="337"/>
      <c r="M141" s="330"/>
      <c r="N141" s="1670"/>
      <c r="O141" s="1670"/>
    </row>
    <row s="2885" customFormat="1" customHeight="1" ht="18.75" hidden="1">
      <c r="A142" s="1830"/>
      <c r="B142" s="369" t="s">
        <v>1676</v>
      </c>
      <c r="C142" s="2315"/>
      <c r="D142" s="2041"/>
      <c r="E142" s="2145"/>
      <c r="F142" s="2145"/>
      <c r="G142" s="406"/>
      <c r="H142" s="401" t="s">
        <v>1572</v>
      </c>
      <c r="I142" s="345"/>
      <c r="J142" s="407"/>
      <c r="K142" s="187"/>
      <c r="L142" s="337"/>
      <c r="M142" s="330"/>
      <c r="N142" s="1670"/>
      <c r="O142" s="1670"/>
    </row>
    <row s="2885" customFormat="1" customHeight="1" ht="40.5" hidden="1">
      <c r="A143" s="1830" t="s">
        <v>180</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299</v>
      </c>
      <c r="L143" s="337"/>
      <c r="M143" s="330"/>
      <c r="N143" s="1670"/>
      <c r="O143" s="1670"/>
    </row>
    <row s="2885" customFormat="1" customHeight="1" ht="18.75" hidden="1">
      <c r="A144" s="1830"/>
      <c r="B144" s="369" t="s">
        <v>1676</v>
      </c>
      <c r="C144" s="2315"/>
      <c r="D144" s="2041"/>
      <c r="E144" s="2145"/>
      <c r="F144" s="2145"/>
      <c r="G144" s="406"/>
      <c r="H144" s="401" t="s">
        <v>1572</v>
      </c>
      <c r="I144" s="345"/>
      <c r="J144" s="407"/>
      <c r="K144" s="187"/>
      <c r="L144" s="337"/>
      <c r="M144" s="330"/>
      <c r="N144" s="1670"/>
      <c r="O144" s="1670"/>
    </row>
    <row s="2885" customFormat="1" customHeight="1" ht="18.75" hidden="1">
      <c r="A145" s="1830" t="s">
        <v>186</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299</v>
      </c>
      <c r="L145" s="337"/>
      <c r="M145" s="330"/>
      <c r="N145" s="1670"/>
      <c r="O145" s="1670"/>
    </row>
    <row s="2885" customFormat="1" customHeight="1" ht="18.75" hidden="1">
      <c r="A146" s="1830"/>
      <c r="B146" s="369" t="s">
        <v>1676</v>
      </c>
      <c r="C146" s="2315"/>
      <c r="D146" s="2041"/>
      <c r="E146" s="2145"/>
      <c r="F146" s="2145"/>
      <c r="G146" s="406"/>
      <c r="H146" s="401" t="s">
        <v>1572</v>
      </c>
      <c r="I146" s="345"/>
      <c r="J146" s="407"/>
      <c r="K146" s="187"/>
      <c r="L146" s="337"/>
      <c r="M146" s="330"/>
      <c r="N146" s="1670"/>
      <c r="O146" s="1670"/>
    </row>
    <row s="2885" customFormat="1" customHeight="1" ht="18.75" hidden="1">
      <c r="A147" s="1830" t="s">
        <v>192</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299</v>
      </c>
      <c r="L147" s="337"/>
      <c r="M147" s="330"/>
      <c r="N147" s="1670"/>
      <c r="O147" s="1670"/>
    </row>
    <row s="2885" customFormat="1" customHeight="1" ht="18.75" hidden="1">
      <c r="A148" s="1830"/>
      <c r="B148" s="369" t="s">
        <v>1676</v>
      </c>
      <c r="C148" s="2315"/>
      <c r="D148" s="2041"/>
      <c r="E148" s="2145"/>
      <c r="F148" s="2145"/>
      <c r="G148" s="406"/>
      <c r="H148" s="401" t="s">
        <v>1572</v>
      </c>
      <c r="I148" s="345"/>
      <c r="J148" s="407"/>
      <c r="K148" s="187"/>
      <c r="L148" s="337"/>
      <c r="M148" s="330"/>
      <c r="N148" s="1670"/>
      <c r="O148" s="1670"/>
    </row>
    <row s="2885" customFormat="1" customHeight="1" ht="18.75" hidden="1">
      <c r="A149" s="1830" t="s">
        <v>198</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299</v>
      </c>
      <c r="L149" s="337"/>
      <c r="M149" s="330"/>
      <c r="N149" s="1670"/>
      <c r="O149" s="1670"/>
    </row>
    <row s="2885" customFormat="1" customHeight="1" ht="18.75" hidden="1">
      <c r="A150" s="1830"/>
      <c r="B150" s="369" t="s">
        <v>1676</v>
      </c>
      <c r="C150" s="2315"/>
      <c r="D150" s="2041"/>
      <c r="E150" s="2145"/>
      <c r="F150" s="2145"/>
      <c r="G150" s="406"/>
      <c r="H150" s="401" t="s">
        <v>1572</v>
      </c>
      <c r="I150" s="345"/>
      <c r="J150" s="407"/>
      <c r="K150" s="187"/>
      <c r="L150" s="337"/>
      <c r="M150" s="330"/>
      <c r="N150" s="1670"/>
      <c r="O150" s="1670"/>
    </row>
    <row s="2885" customFormat="1" customHeight="1" ht="18.75" hidden="1">
      <c r="A151" s="1830" t="s">
        <v>204</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
      </c>
      <c r="G151" s="1816"/>
      <c r="H151" s="1785"/>
      <c r="I151" s="1823"/>
      <c r="J151" s="1828"/>
      <c r="K151" s="1815" t="s">
        <v>299</v>
      </c>
      <c r="L151" s="337"/>
      <c r="M151" s="330"/>
      <c r="N151" s="1670"/>
      <c r="O151" s="1670"/>
    </row>
    <row s="2885" customFormat="1" customHeight="1" ht="18.75" hidden="1">
      <c r="A152" s="1830"/>
      <c r="B152" s="369" t="s">
        <v>1676</v>
      </c>
      <c r="C152" s="2315"/>
      <c r="D152" s="2041"/>
      <c r="E152" s="2145"/>
      <c r="F152" s="2145"/>
      <c r="G152" s="406"/>
      <c r="H152" s="401" t="s">
        <v>1572</v>
      </c>
      <c r="I152" s="345"/>
      <c r="J152" s="407"/>
      <c r="K152" s="187"/>
      <c r="L152" s="337"/>
      <c r="M152" s="330"/>
      <c r="N152" s="1670"/>
      <c r="O152" s="1670"/>
    </row>
    <row s="2885" customFormat="1" customHeight="1" ht="18.75" hidden="1">
      <c r="A153" s="1830" t="s">
        <v>218</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299</v>
      </c>
      <c r="L153" s="337"/>
      <c r="M153" s="330"/>
      <c r="N153" s="1670"/>
      <c r="O153" s="1670"/>
    </row>
    <row s="2885" customFormat="1" customHeight="1" ht="18.75" hidden="1">
      <c r="A154" s="1830"/>
      <c r="B154" s="369" t="s">
        <v>1676</v>
      </c>
      <c r="C154" s="2315"/>
      <c r="D154" s="2041"/>
      <c r="E154" s="2145"/>
      <c r="F154" s="2145"/>
      <c r="G154" s="406"/>
      <c r="H154" s="401" t="s">
        <v>1572</v>
      </c>
      <c r="I154" s="345"/>
      <c r="J154" s="407"/>
      <c r="K154" s="187"/>
      <c r="L154" s="337"/>
      <c r="M154" s="330"/>
      <c r="N154" s="1670"/>
      <c r="O154" s="1670"/>
    </row>
    <row s="2885" customFormat="1" customHeight="1" ht="18.75" hidden="1">
      <c r="A155" s="1830" t="s">
        <v>223</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299</v>
      </c>
      <c r="L155" s="337"/>
      <c r="M155" s="330"/>
      <c r="N155" s="1670"/>
      <c r="O155" s="1670"/>
    </row>
    <row s="2885" customFormat="1" customHeight="1" ht="18.75" hidden="1">
      <c r="A156" s="1830"/>
      <c r="B156" s="369" t="s">
        <v>1676</v>
      </c>
      <c r="C156" s="2315"/>
      <c r="D156" s="2041"/>
      <c r="E156" s="2145"/>
      <c r="F156" s="2145"/>
      <c r="G156" s="406"/>
      <c r="H156" s="401" t="s">
        <v>1572</v>
      </c>
      <c r="I156" s="345"/>
      <c r="J156" s="407"/>
      <c r="K156" s="187"/>
      <c r="L156" s="337"/>
      <c r="M156" s="330"/>
      <c r="N156" s="1670"/>
      <c r="O156" s="1670"/>
    </row>
    <row s="2885" customFormat="1" customHeight="1" ht="18.75" hidden="1">
      <c r="A157" s="1830" t="s">
        <v>228</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299</v>
      </c>
      <c r="L157" s="337"/>
      <c r="M157" s="330"/>
      <c r="N157" s="1670"/>
      <c r="O157" s="1670"/>
    </row>
    <row s="2885" customFormat="1" customHeight="1" ht="18.75" hidden="1">
      <c r="A158" s="1830"/>
      <c r="B158" s="369" t="s">
        <v>1676</v>
      </c>
      <c r="C158" s="2315"/>
      <c r="D158" s="2041"/>
      <c r="E158" s="2145"/>
      <c r="F158" s="2145"/>
      <c r="G158" s="406"/>
      <c r="H158" s="401" t="s">
        <v>1572</v>
      </c>
      <c r="I158" s="345"/>
      <c r="J158" s="407"/>
      <c r="K158" s="187"/>
      <c r="L158" s="337"/>
      <c r="M158" s="330"/>
      <c r="N158" s="1670"/>
      <c r="O158" s="1670"/>
    </row>
    <row s="2885" customFormat="1" customHeight="1" ht="18.75" hidden="1">
      <c r="A159" s="1830" t="s">
        <v>233</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299</v>
      </c>
      <c r="L159" s="337"/>
      <c r="M159" s="330"/>
      <c r="N159" s="1670"/>
      <c r="O159" s="1670"/>
    </row>
    <row s="2885" customFormat="1" customHeight="1" ht="18.75" hidden="1">
      <c r="A160" s="1830"/>
      <c r="B160" s="369" t="s">
        <v>1676</v>
      </c>
      <c r="C160" s="2315"/>
      <c r="D160" s="2041"/>
      <c r="E160" s="2145"/>
      <c r="F160" s="2145"/>
      <c r="G160" s="406"/>
      <c r="H160" s="401" t="s">
        <v>1572</v>
      </c>
      <c r="I160" s="345"/>
      <c r="J160" s="407"/>
      <c r="K160" s="187"/>
      <c r="L160" s="337"/>
      <c r="M160" s="330"/>
      <c r="N160" s="1670"/>
      <c r="O160" s="1670"/>
    </row>
    <row s="2885" customFormat="1" customHeight="1" ht="18.75" hidden="1">
      <c r="A161" s="1830" t="s">
        <v>238</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
      </c>
      <c r="G161" s="1816"/>
      <c r="H161" s="1785"/>
      <c r="I161" s="1823"/>
      <c r="J161" s="1828"/>
      <c r="K161" s="1815" t="s">
        <v>299</v>
      </c>
      <c r="L161" s="337"/>
      <c r="M161" s="330"/>
      <c r="N161" s="1670"/>
      <c r="O161" s="1670"/>
    </row>
    <row s="2885" customFormat="1" customHeight="1" ht="18.75" hidden="1">
      <c r="A162" s="1830"/>
      <c r="B162" s="369" t="s">
        <v>1676</v>
      </c>
      <c r="C162" s="2315"/>
      <c r="D162" s="2041"/>
      <c r="E162" s="2145"/>
      <c r="F162" s="2145"/>
      <c r="G162" s="406"/>
      <c r="H162" s="401" t="s">
        <v>1572</v>
      </c>
      <c r="I162" s="345"/>
      <c r="J162" s="407"/>
      <c r="K162" s="187"/>
      <c r="L162" s="337"/>
      <c r="M162" s="330"/>
      <c r="N162" s="1670"/>
      <c r="O162" s="1670"/>
    </row>
    <row s="2885" customFormat="1" customHeight="1" ht="18.75" hidden="1">
      <c r="A163" s="1830" t="s">
        <v>243</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299</v>
      </c>
      <c r="L163" s="337"/>
      <c r="M163" s="330"/>
      <c r="N163" s="1670"/>
      <c r="O163" s="1670"/>
    </row>
    <row s="2885" customFormat="1" customHeight="1" ht="18.75" hidden="1">
      <c r="A164" s="1830"/>
      <c r="B164" s="369" t="s">
        <v>1676</v>
      </c>
      <c r="C164" s="2315"/>
      <c r="D164" s="2041"/>
      <c r="E164" s="2145"/>
      <c r="F164" s="2145"/>
      <c r="G164" s="406"/>
      <c r="H164" s="401" t="s">
        <v>1572</v>
      </c>
      <c r="I164" s="345"/>
      <c r="J164" s="407"/>
      <c r="K164" s="187"/>
      <c r="L164" s="337"/>
      <c r="M164" s="330"/>
      <c r="N164" s="1670"/>
      <c r="O164" s="1670"/>
    </row>
    <row s="2885" customFormat="1" customHeight="1" ht="18.75" hidden="1">
      <c r="A165" s="1830" t="s">
        <v>248</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299</v>
      </c>
      <c r="L165" s="337"/>
      <c r="M165" s="330"/>
      <c r="N165" s="1670"/>
      <c r="O165" s="1670"/>
    </row>
    <row s="2885" customFormat="1" customHeight="1" ht="18.75" hidden="1">
      <c r="A166" s="1830"/>
      <c r="B166" s="369" t="s">
        <v>1676</v>
      </c>
      <c r="C166" s="2315"/>
      <c r="D166" s="2041"/>
      <c r="E166" s="2145"/>
      <c r="F166" s="2145"/>
      <c r="G166" s="406"/>
      <c r="H166" s="401" t="s">
        <v>1572</v>
      </c>
      <c r="I166" s="345"/>
      <c r="J166" s="407"/>
      <c r="K166" s="187"/>
      <c r="L166" s="337"/>
      <c r="M166" s="330"/>
      <c r="N166" s="1670"/>
      <c r="O166" s="1670"/>
    </row>
    <row s="2885" customFormat="1" customHeight="1" ht="18.75" hidden="1">
      <c r="A167" s="1830" t="s">
        <v>253</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299</v>
      </c>
      <c r="L167" s="337"/>
      <c r="M167" s="330"/>
      <c r="N167" s="1670"/>
      <c r="O167" s="1670"/>
    </row>
    <row s="2885" customFormat="1" customHeight="1" ht="18.75" hidden="1">
      <c r="A168" s="1830"/>
      <c r="B168" s="369" t="s">
        <v>1676</v>
      </c>
      <c r="C168" s="2315"/>
      <c r="D168" s="2041"/>
      <c r="E168" s="2145"/>
      <c r="F168" s="2145"/>
      <c r="G168" s="406"/>
      <c r="H168" s="401" t="s">
        <v>1572</v>
      </c>
      <c r="I168" s="345"/>
      <c r="J168" s="407"/>
      <c r="K168" s="187"/>
      <c r="L168" s="337"/>
      <c r="M168" s="330"/>
      <c r="N168" s="1670"/>
      <c r="O168" s="1670"/>
    </row>
    <row s="2885" customFormat="1" customHeight="1" ht="18.75" hidden="1">
      <c r="A169" s="1830" t="s">
        <v>258</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299</v>
      </c>
      <c r="L169" s="337"/>
      <c r="M169" s="330"/>
      <c r="N169" s="1670"/>
      <c r="O169" s="1670"/>
    </row>
    <row s="2885" customFormat="1" customHeight="1" ht="18.75" hidden="1">
      <c r="A170" s="1830"/>
      <c r="B170" s="369" t="s">
        <v>1676</v>
      </c>
      <c r="C170" s="2315"/>
      <c r="D170" s="2041"/>
      <c r="E170" s="2145"/>
      <c r="F170" s="2145"/>
      <c r="G170" s="406"/>
      <c r="H170" s="401" t="s">
        <v>1572</v>
      </c>
      <c r="I170" s="345"/>
      <c r="J170" s="407"/>
      <c r="K170" s="187"/>
      <c r="L170" s="337"/>
      <c r="M170" s="330"/>
      <c r="N170" s="1670"/>
      <c r="O170" s="1670"/>
    </row>
    <row s="2885" customFormat="1" customHeight="1" ht="18.75" hidden="1">
      <c r="A171" s="1830" t="s">
        <v>263</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299</v>
      </c>
      <c r="L171" s="337"/>
      <c r="M171" s="330"/>
      <c r="N171" s="1670"/>
      <c r="O171" s="1670"/>
    </row>
    <row s="2885" customFormat="1" customHeight="1" ht="18.75" hidden="1">
      <c r="A172" s="1830"/>
      <c r="B172" s="369" t="s">
        <v>1676</v>
      </c>
      <c r="C172" s="2315"/>
      <c r="D172" s="2041"/>
      <c r="E172" s="2145"/>
      <c r="F172" s="2145"/>
      <c r="G172" s="406"/>
      <c r="H172" s="401" t="s">
        <v>1572</v>
      </c>
      <c r="I172" s="345"/>
      <c r="J172" s="407"/>
      <c r="K172" s="187"/>
      <c r="L172" s="337"/>
      <c r="M172" s="330"/>
      <c r="N172" s="1670"/>
      <c r="O172" s="1670"/>
    </row>
    <row s="2885" customFormat="1" customHeight="1" ht="18.75" hidden="1">
      <c r="A173" s="1830" t="s">
        <v>268</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
      </c>
      <c r="G173" s="1816"/>
      <c r="H173" s="1785"/>
      <c r="I173" s="1823"/>
      <c r="J173" s="1828"/>
      <c r="K173" s="1815" t="s">
        <v>299</v>
      </c>
      <c r="L173" s="337"/>
      <c r="M173" s="330"/>
      <c r="N173" s="1670"/>
      <c r="O173" s="1670"/>
    </row>
    <row s="2885" customFormat="1" customHeight="1" ht="18.75" hidden="1">
      <c r="A174" s="1830"/>
      <c r="B174" s="369" t="s">
        <v>1676</v>
      </c>
      <c r="C174" s="2315"/>
      <c r="D174" s="2041"/>
      <c r="E174" s="2145"/>
      <c r="F174" s="2145"/>
      <c r="G174" s="406"/>
      <c r="H174" s="401" t="s">
        <v>1572</v>
      </c>
      <c r="I174" s="345"/>
      <c r="J174" s="407"/>
      <c r="K174" s="187"/>
      <c r="L174" s="337"/>
      <c r="M174" s="330"/>
      <c r="N174" s="1670"/>
      <c r="O174" s="1670"/>
    </row>
    <row customHeight="1" ht="25.5">
      <c r="A175" s="1830"/>
      <c r="C175" s="377"/>
      <c r="D175" s="133" t="s">
        <v>92</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303"/>
      <c r="G175" s="2303"/>
      <c r="H175" s="2303"/>
      <c r="I175" s="2303"/>
      <c r="J175" s="2303"/>
      <c r="K175" s="2303"/>
      <c r="L175" s="285"/>
      <c r="M175" s="330"/>
    </row>
    <row s="2885" customFormat="1" customHeight="1" ht="56.25" hidden="1">
      <c r="A176" s="1830" t="s">
        <v>162</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299</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885" customFormat="1" customHeight="1" ht="18.75" hidden="1">
      <c r="A177" s="1830"/>
      <c r="B177" s="369" t="s">
        <v>1676</v>
      </c>
      <c r="C177" s="2315"/>
      <c r="D177" s="2041"/>
      <c r="E177" s="2145"/>
      <c r="F177" s="2145"/>
      <c r="G177" s="406"/>
      <c r="H177" s="401" t="s">
        <v>1572</v>
      </c>
      <c r="I177" s="345"/>
      <c r="J177" s="407"/>
      <c r="K177" s="187"/>
      <c r="L177" s="2007"/>
      <c r="M177" s="330"/>
      <c r="N177" s="1670"/>
      <c r="O177" s="1670"/>
    </row>
    <row s="2885" customFormat="1" customHeight="1" ht="26.25" hidden="1">
      <c r="A178" s="1830" t="s">
        <v>168</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299</v>
      </c>
      <c r="L178" s="2008"/>
      <c r="M178" s="330"/>
      <c r="N178" s="1670"/>
      <c r="O178" s="1670"/>
    </row>
    <row s="2885" customFormat="1" customHeight="1" ht="18.75" hidden="1">
      <c r="A179" s="1830"/>
      <c r="B179" s="369" t="s">
        <v>1676</v>
      </c>
      <c r="C179" s="2315"/>
      <c r="D179" s="2041"/>
      <c r="E179" s="2145"/>
      <c r="F179" s="2145"/>
      <c r="G179" s="406"/>
      <c r="H179" s="401" t="s">
        <v>1572</v>
      </c>
      <c r="I179" s="345"/>
      <c r="J179" s="407"/>
      <c r="K179" s="187"/>
      <c r="L179" s="337"/>
      <c r="M179" s="330"/>
      <c r="N179" s="1670"/>
      <c r="O179" s="1670"/>
    </row>
    <row s="2885" customFormat="1" customHeight="1" ht="18.75" hidden="1">
      <c r="A180" s="1830" t="s">
        <v>174</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299</v>
      </c>
      <c r="L180" s="337"/>
      <c r="M180" s="330"/>
      <c r="N180" s="1670"/>
      <c r="O180" s="1670"/>
    </row>
    <row s="2885" customFormat="1" customHeight="1" ht="18.75" hidden="1">
      <c r="A181" s="1830"/>
      <c r="B181" s="369" t="s">
        <v>1676</v>
      </c>
      <c r="C181" s="2315"/>
      <c r="D181" s="2041"/>
      <c r="E181" s="2145"/>
      <c r="F181" s="2145"/>
      <c r="G181" s="406"/>
      <c r="H181" s="401" t="s">
        <v>1572</v>
      </c>
      <c r="I181" s="345"/>
      <c r="J181" s="407"/>
      <c r="K181" s="187"/>
      <c r="L181" s="337"/>
      <c r="M181" s="330"/>
      <c r="N181" s="1670"/>
      <c r="O181" s="1670"/>
    </row>
    <row s="2885" customFormat="1" customHeight="1" ht="41.25" hidden="1">
      <c r="A182" s="1830" t="s">
        <v>180</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299</v>
      </c>
      <c r="L182" s="337"/>
      <c r="M182" s="330"/>
      <c r="N182" s="1670"/>
      <c r="O182" s="1670"/>
    </row>
    <row s="2885" customFormat="1" customHeight="1" ht="18.75" hidden="1">
      <c r="A183" s="1830"/>
      <c r="B183" s="369" t="s">
        <v>1676</v>
      </c>
      <c r="C183" s="2315"/>
      <c r="D183" s="2041"/>
      <c r="E183" s="2145"/>
      <c r="F183" s="2145"/>
      <c r="G183" s="406"/>
      <c r="H183" s="401" t="s">
        <v>1572</v>
      </c>
      <c r="I183" s="345"/>
      <c r="J183" s="407"/>
      <c r="K183" s="187"/>
      <c r="L183" s="337"/>
      <c r="M183" s="330"/>
      <c r="N183" s="1670"/>
      <c r="O183" s="1670"/>
    </row>
    <row s="2885" customFormat="1" customHeight="1" ht="18.75" hidden="1">
      <c r="A184" s="1830" t="s">
        <v>186</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299</v>
      </c>
      <c r="L184" s="337"/>
      <c r="M184" s="330"/>
      <c r="N184" s="1670"/>
      <c r="O184" s="1670"/>
    </row>
    <row s="2885" customFormat="1" customHeight="1" ht="18.75" hidden="1">
      <c r="A185" s="1830"/>
      <c r="B185" s="369" t="s">
        <v>1676</v>
      </c>
      <c r="C185" s="2315"/>
      <c r="D185" s="2041"/>
      <c r="E185" s="2145"/>
      <c r="F185" s="2145"/>
      <c r="G185" s="406"/>
      <c r="H185" s="401" t="s">
        <v>1572</v>
      </c>
      <c r="I185" s="345"/>
      <c r="J185" s="407"/>
      <c r="K185" s="187"/>
      <c r="L185" s="337"/>
      <c r="M185" s="330"/>
      <c r="N185" s="1670"/>
      <c r="O185" s="1670"/>
    </row>
    <row s="2885" customFormat="1" customHeight="1" ht="18.75" hidden="1">
      <c r="A186" s="1830" t="s">
        <v>192</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299</v>
      </c>
      <c r="L186" s="337"/>
      <c r="M186" s="330"/>
      <c r="N186" s="1670"/>
      <c r="O186" s="1670"/>
    </row>
    <row s="2885" customFormat="1" customHeight="1" ht="18.75" hidden="1">
      <c r="A187" s="1830"/>
      <c r="B187" s="369" t="s">
        <v>1676</v>
      </c>
      <c r="C187" s="2315"/>
      <c r="D187" s="2041"/>
      <c r="E187" s="2145"/>
      <c r="F187" s="2145"/>
      <c r="G187" s="406"/>
      <c r="H187" s="401" t="s">
        <v>1572</v>
      </c>
      <c r="I187" s="345"/>
      <c r="J187" s="407"/>
      <c r="K187" s="187"/>
      <c r="L187" s="337"/>
      <c r="M187" s="330"/>
      <c r="N187" s="1670"/>
      <c r="O187" s="1670"/>
    </row>
    <row s="2885" customFormat="1" customHeight="1" ht="18.75" hidden="1">
      <c r="A188" s="1830" t="s">
        <v>198</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299</v>
      </c>
      <c r="L188" s="337"/>
      <c r="M188" s="330"/>
      <c r="N188" s="1670"/>
      <c r="O188" s="1670"/>
    </row>
    <row s="2885" customFormat="1" customHeight="1" ht="18.75" hidden="1">
      <c r="A189" s="1830"/>
      <c r="B189" s="369" t="s">
        <v>1676</v>
      </c>
      <c r="C189" s="2315"/>
      <c r="D189" s="2041"/>
      <c r="E189" s="2145"/>
      <c r="F189" s="2145"/>
      <c r="G189" s="406"/>
      <c r="H189" s="401" t="s">
        <v>1572</v>
      </c>
      <c r="I189" s="345"/>
      <c r="J189" s="407"/>
      <c r="K189" s="187"/>
      <c r="L189" s="337"/>
      <c r="M189" s="330"/>
      <c r="N189" s="1670"/>
      <c r="O189" s="1670"/>
    </row>
    <row s="2885" customFormat="1" customHeight="1" ht="18.75" hidden="1">
      <c r="A190" s="1830" t="s">
        <v>204</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
      </c>
      <c r="G190" s="1816"/>
      <c r="H190" s="1785"/>
      <c r="I190" s="1823"/>
      <c r="J190" s="1828"/>
      <c r="K190" s="1815" t="s">
        <v>299</v>
      </c>
      <c r="L190" s="337"/>
      <c r="M190" s="330"/>
      <c r="N190" s="1670"/>
      <c r="O190" s="1670"/>
    </row>
    <row s="2885" customFormat="1" customHeight="1" ht="18.75" hidden="1">
      <c r="A191" s="1830"/>
      <c r="B191" s="369" t="s">
        <v>1676</v>
      </c>
      <c r="C191" s="2315"/>
      <c r="D191" s="2041"/>
      <c r="E191" s="2145"/>
      <c r="F191" s="2145"/>
      <c r="G191" s="406"/>
      <c r="H191" s="401" t="s">
        <v>1572</v>
      </c>
      <c r="I191" s="345"/>
      <c r="J191" s="407"/>
      <c r="K191" s="187"/>
      <c r="L191" s="337"/>
      <c r="M191" s="330"/>
      <c r="N191" s="1670"/>
      <c r="O191" s="1670"/>
    </row>
    <row s="2885" customFormat="1" customHeight="1" ht="18.75" hidden="1">
      <c r="A192" s="1830" t="s">
        <v>218</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299</v>
      </c>
      <c r="L192" s="337"/>
      <c r="M192" s="330"/>
      <c r="N192" s="1670"/>
      <c r="O192" s="1670"/>
    </row>
    <row s="2885" customFormat="1" customHeight="1" ht="18.75" hidden="1">
      <c r="A193" s="1830"/>
      <c r="B193" s="369" t="s">
        <v>1676</v>
      </c>
      <c r="C193" s="2315"/>
      <c r="D193" s="2041"/>
      <c r="E193" s="2145"/>
      <c r="F193" s="2145"/>
      <c r="G193" s="406"/>
      <c r="H193" s="401" t="s">
        <v>1572</v>
      </c>
      <c r="I193" s="345"/>
      <c r="J193" s="407"/>
      <c r="K193" s="187"/>
      <c r="L193" s="337"/>
      <c r="M193" s="330"/>
      <c r="N193" s="1670"/>
      <c r="O193" s="1670"/>
    </row>
    <row s="2885" customFormat="1" customHeight="1" ht="18.75" hidden="1">
      <c r="A194" s="1830" t="s">
        <v>223</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299</v>
      </c>
      <c r="L194" s="337"/>
      <c r="M194" s="330"/>
      <c r="N194" s="1670"/>
      <c r="O194" s="1670"/>
    </row>
    <row s="2885" customFormat="1" customHeight="1" ht="18.75" hidden="1">
      <c r="A195" s="1830"/>
      <c r="B195" s="369" t="s">
        <v>1676</v>
      </c>
      <c r="C195" s="2315"/>
      <c r="D195" s="2041"/>
      <c r="E195" s="2145"/>
      <c r="F195" s="2145"/>
      <c r="G195" s="406"/>
      <c r="H195" s="401" t="s">
        <v>1572</v>
      </c>
      <c r="I195" s="345"/>
      <c r="J195" s="407"/>
      <c r="K195" s="187"/>
      <c r="L195" s="337"/>
      <c r="M195" s="330"/>
      <c r="N195" s="1670"/>
      <c r="O195" s="1670"/>
    </row>
    <row s="2885" customFormat="1" customHeight="1" ht="18.75" hidden="1">
      <c r="A196" s="1830" t="s">
        <v>228</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299</v>
      </c>
      <c r="L196" s="337"/>
      <c r="M196" s="330"/>
      <c r="N196" s="1670"/>
      <c r="O196" s="1670"/>
    </row>
    <row s="2885" customFormat="1" customHeight="1" ht="18.75" hidden="1">
      <c r="A197" s="1830"/>
      <c r="B197" s="369" t="s">
        <v>1676</v>
      </c>
      <c r="C197" s="2315"/>
      <c r="D197" s="2041"/>
      <c r="E197" s="2145"/>
      <c r="F197" s="2145"/>
      <c r="G197" s="406"/>
      <c r="H197" s="401" t="s">
        <v>1572</v>
      </c>
      <c r="I197" s="345"/>
      <c r="J197" s="407"/>
      <c r="K197" s="187"/>
      <c r="L197" s="337"/>
      <c r="M197" s="330"/>
      <c r="N197" s="1670"/>
      <c r="O197" s="1670"/>
    </row>
    <row s="2885" customFormat="1" customHeight="1" ht="18.75" hidden="1">
      <c r="A198" s="1830" t="s">
        <v>233</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299</v>
      </c>
      <c r="L198" s="337"/>
      <c r="M198" s="330"/>
      <c r="N198" s="1670"/>
      <c r="O198" s="1670"/>
    </row>
    <row s="2885" customFormat="1" customHeight="1" ht="18.75" hidden="1">
      <c r="A199" s="1830"/>
      <c r="B199" s="369" t="s">
        <v>1676</v>
      </c>
      <c r="C199" s="2315"/>
      <c r="D199" s="2041"/>
      <c r="E199" s="2145"/>
      <c r="F199" s="2145"/>
      <c r="G199" s="406"/>
      <c r="H199" s="401" t="s">
        <v>1572</v>
      </c>
      <c r="I199" s="345"/>
      <c r="J199" s="407"/>
      <c r="K199" s="187"/>
      <c r="L199" s="337"/>
      <c r="M199" s="330"/>
      <c r="N199" s="1670"/>
      <c r="O199" s="1670"/>
    </row>
    <row s="2885" customFormat="1" customHeight="1" ht="18.75" hidden="1">
      <c r="A200" s="1830" t="s">
        <v>238</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
      </c>
      <c r="G200" s="1816"/>
      <c r="H200" s="1785"/>
      <c r="I200" s="1823"/>
      <c r="J200" s="1828"/>
      <c r="K200" s="1815" t="s">
        <v>299</v>
      </c>
      <c r="L200" s="337"/>
      <c r="M200" s="330"/>
      <c r="N200" s="1670"/>
      <c r="O200" s="1670"/>
    </row>
    <row s="2885" customFormat="1" customHeight="1" ht="18.75" hidden="1">
      <c r="A201" s="1830"/>
      <c r="B201" s="369" t="s">
        <v>1676</v>
      </c>
      <c r="C201" s="2315"/>
      <c r="D201" s="2041"/>
      <c r="E201" s="2145"/>
      <c r="F201" s="2145"/>
      <c r="G201" s="406"/>
      <c r="H201" s="401" t="s">
        <v>1572</v>
      </c>
      <c r="I201" s="345"/>
      <c r="J201" s="407"/>
      <c r="K201" s="187"/>
      <c r="L201" s="337"/>
      <c r="M201" s="330"/>
      <c r="N201" s="1670"/>
      <c r="O201" s="1670"/>
    </row>
    <row s="2885" customFormat="1" customHeight="1" ht="18.75" hidden="1">
      <c r="A202" s="1830" t="s">
        <v>243</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299</v>
      </c>
      <c r="L202" s="337"/>
      <c r="M202" s="330"/>
      <c r="N202" s="1670"/>
      <c r="O202" s="1670"/>
    </row>
    <row s="2885" customFormat="1" customHeight="1" ht="18.75" hidden="1">
      <c r="A203" s="1830"/>
      <c r="B203" s="369" t="s">
        <v>1676</v>
      </c>
      <c r="C203" s="2315"/>
      <c r="D203" s="2041"/>
      <c r="E203" s="2145"/>
      <c r="F203" s="2145"/>
      <c r="G203" s="406"/>
      <c r="H203" s="401" t="s">
        <v>1572</v>
      </c>
      <c r="I203" s="345"/>
      <c r="J203" s="407"/>
      <c r="K203" s="187"/>
      <c r="L203" s="337"/>
      <c r="M203" s="330"/>
      <c r="N203" s="1670"/>
      <c r="O203" s="1670"/>
    </row>
    <row s="2885" customFormat="1" customHeight="1" ht="18.75" hidden="1">
      <c r="A204" s="1830" t="s">
        <v>248</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299</v>
      </c>
      <c r="L204" s="337"/>
      <c r="M204" s="330"/>
      <c r="N204" s="1670"/>
      <c r="O204" s="1670"/>
    </row>
    <row s="2885" customFormat="1" customHeight="1" ht="18.75" hidden="1">
      <c r="A205" s="1830"/>
      <c r="B205" s="369" t="s">
        <v>1676</v>
      </c>
      <c r="C205" s="2315"/>
      <c r="D205" s="2041"/>
      <c r="E205" s="2145"/>
      <c r="F205" s="2145"/>
      <c r="G205" s="406"/>
      <c r="H205" s="401" t="s">
        <v>1572</v>
      </c>
      <c r="I205" s="345"/>
      <c r="J205" s="407"/>
      <c r="K205" s="187"/>
      <c r="L205" s="337"/>
      <c r="M205" s="330"/>
      <c r="N205" s="1670"/>
      <c r="O205" s="1670"/>
    </row>
    <row s="2885" customFormat="1" customHeight="1" ht="18.75" hidden="1">
      <c r="A206" s="1830" t="s">
        <v>253</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299</v>
      </c>
      <c r="L206" s="337"/>
      <c r="M206" s="330"/>
      <c r="N206" s="1670"/>
      <c r="O206" s="1670"/>
    </row>
    <row s="2885" customFormat="1" customHeight="1" ht="18.75" hidden="1">
      <c r="A207" s="1830"/>
      <c r="B207" s="369" t="s">
        <v>1676</v>
      </c>
      <c r="C207" s="2315"/>
      <c r="D207" s="2041"/>
      <c r="E207" s="2145"/>
      <c r="F207" s="2145"/>
      <c r="G207" s="406"/>
      <c r="H207" s="401" t="s">
        <v>1572</v>
      </c>
      <c r="I207" s="345"/>
      <c r="J207" s="407"/>
      <c r="K207" s="187"/>
      <c r="L207" s="337"/>
      <c r="M207" s="330"/>
      <c r="N207" s="1670"/>
      <c r="O207" s="1670"/>
    </row>
    <row s="2885" customFormat="1" customHeight="1" ht="18.75" hidden="1">
      <c r="A208" s="1830" t="s">
        <v>258</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299</v>
      </c>
      <c r="L208" s="337"/>
      <c r="M208" s="330"/>
      <c r="N208" s="1670"/>
      <c r="O208" s="1670"/>
    </row>
    <row s="2885" customFormat="1" customHeight="1" ht="18.75" hidden="1">
      <c r="A209" s="1830"/>
      <c r="B209" s="369" t="s">
        <v>1676</v>
      </c>
      <c r="C209" s="2315"/>
      <c r="D209" s="2041"/>
      <c r="E209" s="2145"/>
      <c r="F209" s="2145"/>
      <c r="G209" s="406"/>
      <c r="H209" s="401" t="s">
        <v>1572</v>
      </c>
      <c r="I209" s="345"/>
      <c r="J209" s="407"/>
      <c r="K209" s="187"/>
      <c r="L209" s="337"/>
      <c r="M209" s="330"/>
      <c r="N209" s="1670"/>
      <c r="O209" s="1670"/>
    </row>
    <row s="2885" customFormat="1" customHeight="1" ht="18.75" hidden="1">
      <c r="A210" s="1830" t="s">
        <v>263</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299</v>
      </c>
      <c r="L210" s="337"/>
      <c r="M210" s="330"/>
      <c r="N210" s="1670"/>
      <c r="O210" s="1670"/>
    </row>
    <row s="2885" customFormat="1" customHeight="1" ht="18.75" hidden="1">
      <c r="A211" s="1830"/>
      <c r="B211" s="369" t="s">
        <v>1676</v>
      </c>
      <c r="C211" s="2315"/>
      <c r="D211" s="2041"/>
      <c r="E211" s="2145"/>
      <c r="F211" s="2145"/>
      <c r="G211" s="406"/>
      <c r="H211" s="401" t="s">
        <v>1572</v>
      </c>
      <c r="I211" s="345"/>
      <c r="J211" s="407"/>
      <c r="K211" s="187"/>
      <c r="L211" s="337"/>
      <c r="M211" s="330"/>
      <c r="N211" s="1670"/>
      <c r="O211" s="1670"/>
    </row>
    <row s="2885" customFormat="1" customHeight="1" ht="18.75" hidden="1">
      <c r="A212" s="1830" t="s">
        <v>268</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
      </c>
      <c r="G212" s="1816"/>
      <c r="H212" s="1785"/>
      <c r="I212" s="1823"/>
      <c r="J212" s="1828"/>
      <c r="K212" s="1815" t="s">
        <v>299</v>
      </c>
      <c r="L212" s="337"/>
      <c r="M212" s="330"/>
      <c r="N212" s="1670"/>
      <c r="O212" s="1670"/>
    </row>
    <row s="2885" customFormat="1" customHeight="1" ht="18.75" hidden="1">
      <c r="A213" s="1830"/>
      <c r="B213" s="369" t="s">
        <v>1676</v>
      </c>
      <c r="C213" s="2315"/>
      <c r="D213" s="2041"/>
      <c r="E213" s="2145"/>
      <c r="F213" s="2145"/>
      <c r="G213" s="406"/>
      <c r="H213" s="401" t="s">
        <v>1572</v>
      </c>
      <c r="I213" s="345"/>
      <c r="J213" s="407"/>
      <c r="K213" s="187"/>
      <c r="L213" s="337"/>
      <c r="M213" s="330"/>
      <c r="N213" s="1670"/>
      <c r="O213" s="1670"/>
    </row>
    <row s="4097"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326BA9-9783-B45A-6BA5-FB190441531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59" width="10.57421875" hidden="1"/>
    <col min="2" max="2" style="3159" width="11.00390625" hidden="1" customWidth="1"/>
    <col min="3" max="3" style="3159" width="10.57421875" hidden="1"/>
    <col min="4" max="4" style="3159" width="11.8515625" hidden="1" customWidth="1"/>
    <col min="5" max="5" style="3159" width="10.00390625" hidden="1" customWidth="1"/>
    <col min="6" max="6" style="3159" width="8.7109375" hidden="1" customWidth="1"/>
    <col min="7" max="7" style="3159" width="7.57421875" hidden="1" customWidth="1"/>
    <col min="8" max="8" style="3159" width="11.421875" hidden="1" customWidth="1"/>
    <col min="9" max="9" style="3159" width="14.140625" hidden="1" customWidth="1"/>
    <col min="10" max="10" style="3159" width="9.8515625" hidden="1" customWidth="1"/>
    <col min="11" max="11" style="3159" width="14.7109375" hidden="1" customWidth="1"/>
    <col min="12" max="12" style="4280" width="19.140625" hidden="1" customWidth="1"/>
    <col min="13" max="14" style="3619" width="12.28125" hidden="1" customWidth="1"/>
    <col min="15" max="15" style="3619" width="23.421875" hidden="1" customWidth="1"/>
    <col min="16" max="16" style="4290" width="3.7109375" customWidth="1"/>
    <col min="17" max="18" style="3694" width="3.7109375" customWidth="1"/>
    <col min="19" max="19" style="3695" width="12.7109375" customWidth="1"/>
    <col min="20" max="20" style="2876" width="35.7109375" customWidth="1"/>
    <col min="21" max="21" style="2876" width="0.140625" customWidth="1"/>
    <col min="22" max="24" style="2876" width="24.7109375" hidden="1" customWidth="1"/>
    <col min="25" max="25" style="2876" width="11.7109375" hidden="1" customWidth="1"/>
    <col min="26" max="26" style="2876" width="3.7109375" hidden="1" customWidth="1"/>
    <col min="27" max="27" style="2876" width="11.7109375" hidden="1" customWidth="1"/>
    <col min="28" max="28" style="2876" width="8.57421875" hidden="1" customWidth="1"/>
    <col min="29" max="31" style="2876" width="24.7109375" customWidth="1"/>
    <col min="32" max="32" style="2876" width="11.7109375" customWidth="1"/>
    <col min="33" max="33" style="2876" width="3.7109375" customWidth="1"/>
    <col min="34" max="34" style="2876" width="11.7109375" customWidth="1"/>
    <col min="35" max="35" style="2876" width="8.57421875" hidden="1" customWidth="1"/>
    <col min="36" max="36" style="2876" width="4.7109375" customWidth="1"/>
    <col min="37" max="37" style="2876"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130</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462</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463</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1677</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1678</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1679</v>
      </c>
      <c r="U5" s="288"/>
      <c r="V5" s="2322"/>
      <c r="W5" s="2323"/>
      <c r="X5" s="2323"/>
      <c r="Y5" s="2323"/>
      <c r="Z5" s="2323"/>
      <c r="AA5" s="2323"/>
      <c r="AB5" s="2324"/>
      <c r="AC5" s="2325"/>
      <c r="AD5" s="2326"/>
      <c r="AE5" s="2326"/>
      <c r="AF5" s="2326"/>
      <c r="AG5" s="2326"/>
      <c r="AH5" s="2326"/>
      <c r="AI5" s="2326"/>
      <c r="AJ5" s="2327"/>
      <c r="AK5" s="1292" t="s">
        <v>1680</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471</v>
      </c>
      <c r="P6" s="2190"/>
      <c r="Q6" s="2190">
        <v>1</v>
      </c>
      <c r="R6" s="353"/>
      <c r="S6" s="1461">
        <f>$J6</f>
      </c>
      <c r="T6" s="274" t="s">
        <v>472</v>
      </c>
      <c r="U6" s="288"/>
      <c r="V6" s="2178"/>
      <c r="W6" s="2179"/>
      <c r="X6" s="2179"/>
      <c r="Y6" s="2179"/>
      <c r="Z6" s="2179"/>
      <c r="AA6" s="2179"/>
      <c r="AB6" s="2180"/>
      <c r="AC6" s="2178"/>
      <c r="AD6" s="2179"/>
      <c r="AE6" s="2179"/>
      <c r="AF6" s="2179"/>
      <c r="AG6" s="2179"/>
      <c r="AH6" s="2179"/>
      <c r="AI6" s="2179"/>
      <c r="AJ6" s="2180"/>
      <c r="AK6" s="1343" t="s">
        <v>1681</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1682</v>
      </c>
      <c r="U9" s="367"/>
      <c r="V9" s="367"/>
      <c r="W9" s="367"/>
      <c r="X9" s="367"/>
      <c r="Y9" s="367"/>
      <c r="Z9" s="367"/>
      <c r="AA9" s="367"/>
      <c r="AB9" s="367"/>
      <c r="AC9" s="367"/>
      <c r="AD9" s="367"/>
      <c r="AE9" s="367"/>
      <c r="AF9" s="367"/>
      <c r="AG9" s="367"/>
      <c r="AH9" s="367"/>
      <c r="AI9" s="367"/>
      <c r="AJ9" s="367"/>
      <c r="AK9" s="1292" t="s">
        <v>1683</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477</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1684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9"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436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59" customFormat="1" customHeight="1" ht="22.5" hidden="1">
      <c r="L18" s="1457"/>
      <c r="M18" s="1398"/>
      <c r="N18" s="1398"/>
      <c r="O18" s="1403" t="s">
        <v>479</v>
      </c>
      <c r="P18" s="1398"/>
      <c r="Q18" s="1407"/>
      <c r="R18" s="1407"/>
      <c r="S18" s="738"/>
      <c r="Y18" s="1403"/>
      <c r="AA18" s="1403"/>
      <c r="AB18" s="1402"/>
      <c r="AF18" s="1403"/>
      <c r="AH18" s="1403"/>
      <c r="AI18" s="1402"/>
      <c r="AL18" s="519"/>
      <c r="AM18" s="519"/>
      <c r="AN18" s="519"/>
      <c r="AO18" s="519"/>
      <c r="AP18" s="519"/>
    </row>
    <row s="3159" customFormat="1" customHeight="1" ht="14.25" hidden="1">
      <c r="L19" s="1457"/>
      <c r="M19" s="1398"/>
      <c r="N19" s="1398"/>
      <c r="O19" s="1398"/>
      <c r="P19" s="1398"/>
      <c r="Q19" s="1407"/>
      <c r="R19" s="1407"/>
      <c r="S19" s="738"/>
      <c r="AB19" s="1402"/>
      <c r="AI19" s="1402"/>
      <c r="AL19" s="519"/>
      <c r="AM19" s="519"/>
      <c r="AN19" s="519"/>
      <c r="AO19" s="519"/>
      <c r="AP19" s="519"/>
    </row>
    <row s="3159" customFormat="1" customHeight="1" ht="12" hidden="1">
      <c r="L20" s="1457"/>
      <c r="M20" s="1398"/>
      <c r="N20" s="1398"/>
      <c r="O20" s="1400" t="s">
        <v>480</v>
      </c>
      <c r="P20" s="1398"/>
      <c r="Q20" s="1478"/>
      <c r="R20" s="1478"/>
      <c r="S20" s="738"/>
      <c r="T20" s="1174" t="s">
        <v>481</v>
      </c>
      <c r="Z20" s="172" t="s">
        <v>482</v>
      </c>
      <c r="AB20" s="172" t="s">
        <v>483</v>
      </c>
      <c r="AC20" s="1174" t="s">
        <v>481</v>
      </c>
      <c r="AG20" s="172" t="s">
        <v>484</v>
      </c>
      <c r="AI20" s="172" t="s">
        <v>483</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"Уссурийск-Водоканал"</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8" customFormat="1" customHeight="1" ht="25.5" hidden="1">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8" customFormat="1" customHeight="1" ht="18.75" hidden="1">
      <c r="A28" s="1404"/>
      <c r="B28" s="1404"/>
      <c r="C28" s="1404"/>
      <c r="D28" s="1404"/>
      <c r="E28" s="1404"/>
      <c r="F28" s="1404"/>
      <c r="G28" s="1404"/>
      <c r="H28" s="1404"/>
      <c r="I28" s="1404"/>
      <c r="J28" s="1404"/>
      <c r="K28" s="1404"/>
      <c r="L28" s="1405"/>
      <c r="M28" s="1404"/>
      <c r="N28" s="1404"/>
      <c r="O28" s="1404"/>
      <c r="S28" s="2183" t="s">
        <v>485</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8" customFormat="1" customHeight="1" ht="18.75" hidden="1">
      <c r="A29" s="1404"/>
      <c r="B29" s="1404"/>
      <c r="C29" s="1404"/>
      <c r="D29" s="1404"/>
      <c r="E29" s="1404"/>
      <c r="F29" s="1404"/>
      <c r="G29" s="1404"/>
      <c r="H29" s="1404"/>
      <c r="I29" s="1404"/>
      <c r="J29" s="1404"/>
      <c r="K29" s="1404"/>
      <c r="L29" s="1405"/>
      <c r="M29" s="1404"/>
      <c r="N29" s="1404"/>
      <c r="O29" s="1404"/>
      <c r="S29" s="2183" t="s">
        <v>486</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8" customFormat="1" customHeight="1" ht="18.75" hidden="1">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8" customFormat="1" customHeight="1" ht="18.75" hidden="1">
      <c r="A32" s="1404"/>
      <c r="B32" s="1404"/>
      <c r="C32" s="1404"/>
      <c r="D32" s="1404"/>
      <c r="E32" s="1404"/>
      <c r="F32" s="1404"/>
      <c r="G32" s="1404"/>
      <c r="H32" s="1404"/>
      <c r="I32" s="1404"/>
      <c r="J32" s="1404"/>
      <c r="K32" s="1404"/>
      <c r="L32" s="1405"/>
      <c r="M32" s="1404"/>
      <c r="N32" s="1404"/>
      <c r="O32" s="1404"/>
      <c r="S32" s="2183" t="s">
        <v>487</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8" customFormat="1" customHeight="1" ht="18.75" hidden="1">
      <c r="A33" s="1404"/>
      <c r="B33" s="1404"/>
      <c r="C33" s="1404"/>
      <c r="D33" s="1404"/>
      <c r="E33" s="1404"/>
      <c r="F33" s="1404"/>
      <c r="G33" s="1404"/>
      <c r="H33" s="1404"/>
      <c r="I33" s="1404"/>
      <c r="J33" s="1404"/>
      <c r="K33" s="1404"/>
      <c r="L33" s="1405"/>
      <c r="M33" s="1404"/>
      <c r="N33" s="1404"/>
      <c r="O33" s="1404"/>
      <c r="S33" s="2183" t="s">
        <v>488</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8"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489</v>
      </c>
      <c r="AC34" s="322"/>
      <c r="AD34" s="322"/>
      <c r="AE34" s="322"/>
      <c r="AF34" s="322"/>
      <c r="AG34" s="322"/>
      <c r="AH34" s="322"/>
      <c r="AI34" s="266" t="s">
        <v>489</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490</v>
      </c>
      <c r="U37" s="289"/>
      <c r="V37" s="2207" t="s">
        <v>491</v>
      </c>
      <c r="W37" s="2208"/>
      <c r="X37" s="2208"/>
      <c r="Y37" s="2208"/>
      <c r="Z37" s="2208"/>
      <c r="AA37" s="2209"/>
      <c r="AB37" s="2210" t="s">
        <v>492</v>
      </c>
      <c r="AC37" s="2207" t="s">
        <v>491</v>
      </c>
      <c r="AD37" s="2208"/>
      <c r="AE37" s="2208"/>
      <c r="AF37" s="2208"/>
      <c r="AG37" s="2208"/>
      <c r="AH37" s="2209"/>
      <c r="AI37" s="2210" t="s">
        <v>493</v>
      </c>
      <c r="AJ37" s="2213" t="s">
        <v>494</v>
      </c>
      <c r="AK37" s="1966"/>
    </row>
    <row customHeight="1" ht="33.75">
      <c r="Q38" s="377"/>
      <c r="R38" s="377"/>
      <c r="S38" s="2206"/>
      <c r="T38" s="2047"/>
      <c r="U38" s="1044"/>
      <c r="V38" s="1388" t="s">
        <v>1685</v>
      </c>
      <c r="W38" s="2195" t="s">
        <v>497</v>
      </c>
      <c r="X38" s="2196"/>
      <c r="Y38" s="2195" t="s">
        <v>498</v>
      </c>
      <c r="Z38" s="2202"/>
      <c r="AA38" s="2196"/>
      <c r="AB38" s="2211"/>
      <c r="AC38" s="1388" t="s">
        <v>1685</v>
      </c>
      <c r="AD38" s="2195" t="s">
        <v>497</v>
      </c>
      <c r="AE38" s="2196"/>
      <c r="AF38" s="2195" t="s">
        <v>498</v>
      </c>
      <c r="AG38" s="2202"/>
      <c r="AH38" s="2196"/>
      <c r="AI38" s="2211"/>
      <c r="AJ38" s="2214"/>
      <c r="AK38" s="1966"/>
    </row>
    <row customHeight="1" ht="33.75">
      <c r="A39" s="1406"/>
      <c r="B39" s="1406" t="s">
        <v>142</v>
      </c>
      <c r="C39" s="1406" t="s">
        <v>143</v>
      </c>
      <c r="D39" s="1406" t="s">
        <v>144</v>
      </c>
      <c r="E39" s="1400" t="s">
        <v>499</v>
      </c>
      <c r="F39" s="1400" t="s">
        <v>500</v>
      </c>
      <c r="G39" s="1400" t="s">
        <v>501</v>
      </c>
      <c r="H39" s="1400"/>
      <c r="I39" s="1400" t="s">
        <v>1686</v>
      </c>
      <c r="J39" s="1400" t="s">
        <v>504</v>
      </c>
      <c r="K39" s="1400" t="s">
        <v>1687</v>
      </c>
      <c r="L39" s="1400" t="s">
        <v>480</v>
      </c>
      <c r="Q39" s="377"/>
      <c r="R39" s="377"/>
      <c r="S39" s="2206"/>
      <c r="T39" s="2047"/>
      <c r="U39" s="290"/>
      <c r="V39" s="1388" t="s">
        <v>1688</v>
      </c>
      <c r="W39" s="1243" t="s">
        <v>1689</v>
      </c>
      <c r="X39" s="1243" t="s">
        <v>1690</v>
      </c>
      <c r="Y39" s="1393" t="s">
        <v>508</v>
      </c>
      <c r="Z39" s="2203" t="s">
        <v>509</v>
      </c>
      <c r="AA39" s="2204"/>
      <c r="AB39" s="2212"/>
      <c r="AC39" s="1388" t="s">
        <v>1688</v>
      </c>
      <c r="AD39" s="1243" t="s">
        <v>1689</v>
      </c>
      <c r="AE39" s="1243" t="s">
        <v>1690</v>
      </c>
      <c r="AF39" s="1393" t="s">
        <v>508</v>
      </c>
      <c r="AG39" s="2203" t="s">
        <v>509</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219</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130</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219</v>
      </c>
      <c r="B42" s="1399" t="s">
        <v>220</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462</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463</v>
      </c>
      <c r="AM42" s="508"/>
      <c r="AN42" s="508" t="str">
        <f>IF(T42="","",T42)</f>
        <v>Территория действия тарифа</v>
      </c>
      <c r="AO42" s="508"/>
      <c r="AP42" s="508"/>
    </row>
    <row customHeight="1" ht="23.25">
      <c r="A43" s="1399" t="s">
        <v>219</v>
      </c>
      <c r="B43" s="1399" t="s">
        <v>220</v>
      </c>
      <c r="C43" s="1399" t="s">
        <v>221</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1677</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1678</v>
      </c>
      <c r="AM43" s="508"/>
      <c r="AN43" s="508" t="str">
        <f>IF(T43="","",T43)</f>
        <v>Наименование централизованной системы холодного водоснабжения</v>
      </c>
      <c r="AO43" s="508"/>
      <c r="AP43" s="508"/>
    </row>
    <row customHeight="1" ht="23.25">
      <c r="A44" s="1399" t="s">
        <v>219</v>
      </c>
      <c r="B44" s="1399" t="s">
        <v>220</v>
      </c>
      <c r="C44" s="1399" t="s">
        <v>221</v>
      </c>
      <c r="D44" s="1399" t="s">
        <v>1691</v>
      </c>
      <c r="E44" s="2192"/>
      <c r="F44" s="2192"/>
      <c r="G44" s="2192"/>
      <c r="H44" s="2192"/>
      <c r="I44" s="2189" t="str">
        <f>S43&amp;".1"</f>
        <v>...1</v>
      </c>
      <c r="J44" s="1399"/>
      <c r="K44" s="1399"/>
      <c r="L44" s="1400"/>
      <c r="P44" s="2190">
        <v>1</v>
      </c>
      <c r="Q44" s="1390"/>
      <c r="R44" s="352"/>
      <c r="S44" s="1394" t="str">
        <f>$I44</f>
        <v>...1</v>
      </c>
      <c r="T44" s="273" t="s">
        <v>1679</v>
      </c>
      <c r="U44" s="288"/>
      <c r="V44" s="2322"/>
      <c r="W44" s="2323"/>
      <c r="X44" s="2323"/>
      <c r="Y44" s="2323"/>
      <c r="Z44" s="2323"/>
      <c r="AA44" s="2323"/>
      <c r="AB44" s="2324"/>
      <c r="AC44" s="2325"/>
      <c r="AD44" s="2326"/>
      <c r="AE44" s="2326"/>
      <c r="AF44" s="2326"/>
      <c r="AG44" s="2326"/>
      <c r="AH44" s="2326"/>
      <c r="AI44" s="2326"/>
      <c r="AJ44" s="2327"/>
      <c r="AK44" s="1292" t="s">
        <v>1680</v>
      </c>
      <c r="AM44" s="508"/>
      <c r="AN44" s="508" t="str">
        <f>IF(T44="","",T44)</f>
        <v>Наименование признака дифференциации</v>
      </c>
      <c r="AO44" s="508"/>
      <c r="AP44" s="508"/>
    </row>
    <row customHeight="1" ht="23.25">
      <c r="A45" s="1399" t="s">
        <v>219</v>
      </c>
      <c r="B45" s="1399" t="s">
        <v>220</v>
      </c>
      <c r="C45" s="1399" t="s">
        <v>221</v>
      </c>
      <c r="D45" s="1399" t="s">
        <v>1691</v>
      </c>
      <c r="E45" s="2192"/>
      <c r="F45" s="2192"/>
      <c r="G45" s="2192"/>
      <c r="H45" s="2192"/>
      <c r="I45" s="2219"/>
      <c r="J45" s="2189" t="str">
        <f>I44&amp;".1"</f>
        <v>...1.1</v>
      </c>
      <c r="K45" s="1399"/>
      <c r="L45" s="1400" t="s">
        <v>471</v>
      </c>
      <c r="P45" s="2190"/>
      <c r="Q45" s="2190">
        <v>1</v>
      </c>
      <c r="R45" s="353"/>
      <c r="S45" s="1394" t="str">
        <f>$J45</f>
        <v>...1.1</v>
      </c>
      <c r="T45" s="274" t="s">
        <v>472</v>
      </c>
      <c r="U45" s="288"/>
      <c r="V45" s="2178"/>
      <c r="W45" s="2179"/>
      <c r="X45" s="2179"/>
      <c r="Y45" s="2179"/>
      <c r="Z45" s="2179"/>
      <c r="AA45" s="2179"/>
      <c r="AB45" s="2180"/>
      <c r="AC45" s="2178"/>
      <c r="AD45" s="2179"/>
      <c r="AE45" s="2179"/>
      <c r="AF45" s="2179"/>
      <c r="AG45" s="2179"/>
      <c r="AH45" s="2179"/>
      <c r="AI45" s="2179"/>
      <c r="AJ45" s="2180"/>
      <c r="AK45" s="1343" t="s">
        <v>1681</v>
      </c>
      <c r="AM45" s="508"/>
      <c r="AN45" s="508" t="str">
        <f>IF(T45="","",T45)</f>
        <v>Группа потребителей</v>
      </c>
      <c r="AO45" s="508"/>
      <c r="AP45" s="508"/>
    </row>
    <row customHeight="1" ht="23.25">
      <c r="A46" s="1399" t="s">
        <v>219</v>
      </c>
      <c r="B46" s="1399" t="s">
        <v>220</v>
      </c>
      <c r="C46" s="1399" t="s">
        <v>221</v>
      </c>
      <c r="D46" s="1399" t="s">
        <v>1691</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219</v>
      </c>
      <c r="B47" s="1399" t="s">
        <v>220</v>
      </c>
      <c r="C47" s="1399" t="s">
        <v>221</v>
      </c>
      <c r="D47" s="1399" t="s">
        <v>1691</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219</v>
      </c>
      <c r="B48" s="1399" t="s">
        <v>220</v>
      </c>
      <c r="C48" s="1399" t="s">
        <v>221</v>
      </c>
      <c r="D48" s="1399" t="s">
        <v>1691</v>
      </c>
      <c r="E48" s="2192"/>
      <c r="F48" s="2192"/>
      <c r="G48" s="2192"/>
      <c r="H48" s="2192"/>
      <c r="I48" s="2219"/>
      <c r="J48" s="2189"/>
      <c r="K48" s="1399"/>
      <c r="L48" s="1400"/>
      <c r="P48" s="2190"/>
      <c r="Q48" s="2190"/>
      <c r="R48" s="352"/>
      <c r="S48" s="1314"/>
      <c r="T48" s="275" t="s">
        <v>1682</v>
      </c>
      <c r="U48" s="367"/>
      <c r="V48" s="367"/>
      <c r="W48" s="367"/>
      <c r="X48" s="367"/>
      <c r="Y48" s="367"/>
      <c r="Z48" s="367"/>
      <c r="AA48" s="367"/>
      <c r="AB48" s="367"/>
      <c r="AC48" s="367"/>
      <c r="AD48" s="367"/>
      <c r="AE48" s="367"/>
      <c r="AF48" s="367"/>
      <c r="AG48" s="367"/>
      <c r="AH48" s="367"/>
      <c r="AI48" s="367"/>
      <c r="AJ48" s="367"/>
      <c r="AK48" s="1292" t="s">
        <v>1683</v>
      </c>
      <c r="AM48" s="508"/>
      <c r="AN48" s="508" t="str">
        <f>IF(T48="","",T48)</f>
        <v>Добавить значение признака дифференциации</v>
      </c>
      <c r="AO48" s="508"/>
      <c r="AP48" s="508"/>
    </row>
    <row customHeight="1" ht="21">
      <c r="A49" s="1399" t="s">
        <v>219</v>
      </c>
      <c r="B49" s="1399" t="s">
        <v>220</v>
      </c>
      <c r="C49" s="1399" t="s">
        <v>221</v>
      </c>
      <c r="D49" s="1399" t="s">
        <v>1691</v>
      </c>
      <c r="E49" s="2192"/>
      <c r="F49" s="2192"/>
      <c r="G49" s="2192"/>
      <c r="H49" s="2192"/>
      <c r="I49" s="2189"/>
      <c r="J49" s="1399"/>
      <c r="K49" s="1399"/>
      <c r="L49" s="1400"/>
      <c r="P49" s="2190"/>
      <c r="Q49" s="1390"/>
      <c r="R49" s="352"/>
      <c r="S49" s="1314"/>
      <c r="T49" s="364" t="s">
        <v>477</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219</v>
      </c>
      <c r="B50" s="1399" t="s">
        <v>220</v>
      </c>
      <c r="C50" s="1399" t="s">
        <v>221</v>
      </c>
      <c r="D50" s="1399" t="s">
        <v>1691</v>
      </c>
      <c r="E50" s="2192"/>
      <c r="F50" s="2192"/>
      <c r="G50" s="2192"/>
      <c r="H50" s="2191"/>
      <c r="I50" s="1399"/>
      <c r="J50" s="1399"/>
      <c r="K50" s="1399"/>
      <c r="L50" s="1400"/>
      <c r="M50" s="1401"/>
      <c r="N50" s="1401"/>
      <c r="O50" s="545"/>
      <c r="P50" s="356"/>
      <c r="Q50" s="376"/>
      <c r="R50" s="351"/>
      <c r="S50" s="1314"/>
      <c r="T50" s="372" t="s">
        <v>1684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9" customFormat="1" customHeight="1" ht="0">
      <c r="A51" s="1379" t="s">
        <v>219</v>
      </c>
      <c r="B51" s="1379" t="s">
        <v>220</v>
      </c>
      <c r="C51" s="1350"/>
      <c r="D51" s="1350"/>
      <c r="E51" s="2192"/>
      <c r="F51" s="2191"/>
      <c r="G51" s="1350"/>
      <c r="H51" s="1350"/>
      <c r="I51" s="1350"/>
      <c r="J51" s="1350"/>
      <c r="K51" s="1350"/>
      <c r="L51" s="1462"/>
      <c r="M51" s="1357"/>
      <c r="N51" s="1357"/>
      <c r="P51" s="1352"/>
      <c r="Q51" s="1353"/>
      <c r="R51" s="1352"/>
      <c r="S51" s="1358"/>
      <c r="T51" s="1361" t="s">
        <v>436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219</v>
      </c>
      <c r="B52" s="1379"/>
      <c r="C52" s="1379"/>
      <c r="D52" s="1379"/>
      <c r="E52" s="2191"/>
      <c r="F52" s="1379"/>
      <c r="G52" s="1379"/>
      <c r="H52" s="1379"/>
      <c r="I52" s="1379"/>
      <c r="J52" s="1379"/>
      <c r="K52" s="1379"/>
      <c r="L52" s="1382"/>
      <c r="M52" s="1357"/>
      <c r="N52" s="1357"/>
      <c r="O52" s="526"/>
      <c r="P52" s="385"/>
      <c r="Q52" s="1380"/>
      <c r="R52" s="385"/>
      <c r="S52" s="1358"/>
      <c r="T52" s="1361" t="s">
        <v>437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9"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438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510</v>
      </c>
      <c r="T55" s="2218" t="s">
        <v>1692</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510</v>
      </c>
      <c r="T57" s="2218" t="s">
        <v>1693</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56910F-4442-54D7-C44D-6029E88102A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59" width="10.57421875" hidden="1"/>
    <col min="2" max="2" style="3159" width="11.00390625" hidden="1" customWidth="1"/>
    <col min="3" max="3" style="3159" width="10.57421875" hidden="1"/>
    <col min="4" max="4" style="3159" width="11.8515625" hidden="1" customWidth="1"/>
    <col min="5" max="5" style="3159" width="10.00390625" hidden="1" customWidth="1"/>
    <col min="6" max="6" style="3159" width="8.7109375" hidden="1" customWidth="1"/>
    <col min="7" max="7" style="3159" width="7.57421875" hidden="1" customWidth="1"/>
    <col min="8" max="8" style="3159" width="11.421875" hidden="1" customWidth="1"/>
    <col min="9" max="9" style="3159" width="14.140625" hidden="1" customWidth="1"/>
    <col min="10" max="10" style="3159" width="9.8515625" hidden="1" customWidth="1"/>
    <col min="11" max="11" style="3159" width="14.7109375" hidden="1" customWidth="1"/>
    <col min="12" max="12" style="4296" width="19.140625" hidden="1" customWidth="1"/>
    <col min="13" max="14" style="3619" width="12.28125" hidden="1" customWidth="1"/>
    <col min="15" max="15" style="3619" width="23.421875" hidden="1" customWidth="1"/>
    <col min="16" max="16" style="4301" width="3.7109375" customWidth="1"/>
    <col min="17" max="18" style="3694" width="3.7109375" customWidth="1"/>
    <col min="19" max="19" style="3695" width="12.7109375" customWidth="1"/>
    <col min="20" max="20" style="2876" width="35.7109375" customWidth="1"/>
    <col min="21" max="21" style="2876" width="0.140625" customWidth="1"/>
    <col min="22" max="24" style="2876" width="24.7109375" hidden="1" customWidth="1"/>
    <col min="25" max="25" style="2876" width="11.7109375" hidden="1" customWidth="1"/>
    <col min="26" max="26" style="2876" width="3.7109375" hidden="1" customWidth="1"/>
    <col min="27" max="27" style="2876" width="11.7109375" hidden="1" customWidth="1"/>
    <col min="28" max="28" style="2876" width="8.57421875" hidden="1" customWidth="1"/>
    <col min="29" max="31" style="2876" width="24.7109375" customWidth="1"/>
    <col min="32" max="32" style="2876" width="11.7109375" customWidth="1"/>
    <col min="33" max="33" style="2876" width="3.7109375" customWidth="1"/>
    <col min="34" max="34" style="2876" width="11.7109375" customWidth="1"/>
    <col min="35" max="35" style="2876" width="8.57421875" hidden="1" customWidth="1"/>
    <col min="36" max="36" style="2876" width="4.7109375" customWidth="1"/>
    <col min="37" max="37" style="2876"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130</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462</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463</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1677</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1678</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1679</v>
      </c>
      <c r="U5" s="288"/>
      <c r="V5" s="2322"/>
      <c r="W5" s="2323"/>
      <c r="X5" s="2323"/>
      <c r="Y5" s="2323"/>
      <c r="Z5" s="2323"/>
      <c r="AA5" s="2323"/>
      <c r="AB5" s="2324"/>
      <c r="AC5" s="2325"/>
      <c r="AD5" s="2326"/>
      <c r="AE5" s="2326"/>
      <c r="AF5" s="2326"/>
      <c r="AG5" s="2326"/>
      <c r="AH5" s="2326"/>
      <c r="AI5" s="2326"/>
      <c r="AJ5" s="2327"/>
      <c r="AK5" s="1292" t="s">
        <v>1680</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471</v>
      </c>
      <c r="P6" s="2190"/>
      <c r="Q6" s="2190">
        <v>1</v>
      </c>
      <c r="R6" s="353"/>
      <c r="S6" s="1493">
        <f>$J6</f>
      </c>
      <c r="T6" s="274" t="s">
        <v>472</v>
      </c>
      <c r="U6" s="288"/>
      <c r="V6" s="2178"/>
      <c r="W6" s="2179"/>
      <c r="X6" s="2179"/>
      <c r="Y6" s="2179"/>
      <c r="Z6" s="2179"/>
      <c r="AA6" s="2179"/>
      <c r="AB6" s="2180"/>
      <c r="AC6" s="2178"/>
      <c r="AD6" s="2179"/>
      <c r="AE6" s="2179"/>
      <c r="AF6" s="2179"/>
      <c r="AG6" s="2179"/>
      <c r="AH6" s="2179"/>
      <c r="AI6" s="2179"/>
      <c r="AJ6" s="2180"/>
      <c r="AK6" s="1343" t="s">
        <v>1681</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1682</v>
      </c>
      <c r="U9" s="367"/>
      <c r="V9" s="367"/>
      <c r="W9" s="367"/>
      <c r="X9" s="367"/>
      <c r="Y9" s="367"/>
      <c r="Z9" s="367"/>
      <c r="AA9" s="367"/>
      <c r="AB9" s="367"/>
      <c r="AC9" s="367"/>
      <c r="AD9" s="367"/>
      <c r="AE9" s="367"/>
      <c r="AF9" s="367"/>
      <c r="AG9" s="367"/>
      <c r="AH9" s="367"/>
      <c r="AI9" s="367"/>
      <c r="AJ9" s="367"/>
      <c r="AK9" s="1292" t="s">
        <v>1683</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477</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9"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59" customFormat="1" customHeight="1" ht="22.5" hidden="1">
      <c r="L18" s="1483"/>
      <c r="M18" s="1398"/>
      <c r="N18" s="1398"/>
      <c r="O18" s="1403" t="s">
        <v>479</v>
      </c>
      <c r="P18" s="1398"/>
      <c r="Q18" s="1407"/>
      <c r="R18" s="1407"/>
      <c r="S18" s="738"/>
      <c r="Y18" s="1403"/>
      <c r="AA18" s="1403"/>
      <c r="AB18" s="1402"/>
      <c r="AF18" s="1403"/>
      <c r="AH18" s="1403"/>
      <c r="AI18" s="1402"/>
      <c r="AL18" s="519"/>
      <c r="AM18" s="519"/>
      <c r="AN18" s="519"/>
      <c r="AO18" s="519"/>
      <c r="AP18" s="519"/>
    </row>
    <row s="3159" customFormat="1" customHeight="1" ht="14.25" hidden="1">
      <c r="L19" s="1483"/>
      <c r="M19" s="1398"/>
      <c r="N19" s="1398"/>
      <c r="O19" s="1398"/>
      <c r="P19" s="1398"/>
      <c r="Q19" s="1407"/>
      <c r="R19" s="1407"/>
      <c r="S19" s="738"/>
      <c r="AB19" s="1402"/>
      <c r="AI19" s="1402"/>
      <c r="AL19" s="519"/>
      <c r="AM19" s="519"/>
      <c r="AN19" s="519"/>
      <c r="AO19" s="519"/>
      <c r="AP19" s="519"/>
    </row>
    <row s="3159" customFormat="1" customHeight="1" ht="12" hidden="1">
      <c r="L20" s="1483"/>
      <c r="M20" s="1398"/>
      <c r="N20" s="1398"/>
      <c r="O20" s="1400" t="s">
        <v>480</v>
      </c>
      <c r="P20" s="1398"/>
      <c r="Q20" s="1478"/>
      <c r="R20" s="1478"/>
      <c r="S20" s="738"/>
      <c r="T20" s="1174" t="s">
        <v>481</v>
      </c>
      <c r="Z20" s="172" t="s">
        <v>482</v>
      </c>
      <c r="AB20" s="172" t="s">
        <v>483</v>
      </c>
      <c r="AC20" s="1174" t="s">
        <v>481</v>
      </c>
      <c r="AG20" s="172" t="s">
        <v>484</v>
      </c>
      <c r="AI20" s="172" t="s">
        <v>483</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"Уссурийск-Водоканал"</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8" customFormat="1" customHeight="1" ht="25.5" hidden="1">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8" customFormat="1" customHeight="1" ht="18.75" hidden="1">
      <c r="A28" s="1404"/>
      <c r="B28" s="1404"/>
      <c r="C28" s="1404"/>
      <c r="D28" s="1404"/>
      <c r="E28" s="1404"/>
      <c r="F28" s="1404"/>
      <c r="G28" s="1404"/>
      <c r="H28" s="1404"/>
      <c r="I28" s="1404"/>
      <c r="J28" s="1404"/>
      <c r="K28" s="1404"/>
      <c r="L28" s="1405"/>
      <c r="M28" s="1404"/>
      <c r="N28" s="1404"/>
      <c r="O28" s="1404"/>
      <c r="S28" s="2183" t="s">
        <v>485</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8" customFormat="1" customHeight="1" ht="18.75" hidden="1">
      <c r="A29" s="1404"/>
      <c r="B29" s="1404"/>
      <c r="C29" s="1404"/>
      <c r="D29" s="1404"/>
      <c r="E29" s="1404"/>
      <c r="F29" s="1404"/>
      <c r="G29" s="1404"/>
      <c r="H29" s="1404"/>
      <c r="I29" s="1404"/>
      <c r="J29" s="1404"/>
      <c r="K29" s="1404"/>
      <c r="L29" s="1405"/>
      <c r="M29" s="1404"/>
      <c r="N29" s="1404"/>
      <c r="O29" s="1404"/>
      <c r="S29" s="2183" t="s">
        <v>486</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8" customFormat="1" customHeight="1" ht="18.75" hidden="1">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8" customFormat="1" customHeight="1" ht="18.75" hidden="1">
      <c r="A32" s="1404"/>
      <c r="B32" s="1404"/>
      <c r="C32" s="1404"/>
      <c r="D32" s="1404"/>
      <c r="E32" s="1404"/>
      <c r="F32" s="1404"/>
      <c r="G32" s="1404"/>
      <c r="H32" s="1404"/>
      <c r="I32" s="1404"/>
      <c r="J32" s="1404"/>
      <c r="K32" s="1404"/>
      <c r="L32" s="1405"/>
      <c r="M32" s="1404"/>
      <c r="N32" s="1404"/>
      <c r="O32" s="1404"/>
      <c r="S32" s="2183" t="s">
        <v>487</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8" customFormat="1" customHeight="1" ht="18.75" hidden="1">
      <c r="A33" s="1404"/>
      <c r="B33" s="1404"/>
      <c r="C33" s="1404"/>
      <c r="D33" s="1404"/>
      <c r="E33" s="1404"/>
      <c r="F33" s="1404"/>
      <c r="G33" s="1404"/>
      <c r="H33" s="1404"/>
      <c r="I33" s="1404"/>
      <c r="J33" s="1404"/>
      <c r="K33" s="1404"/>
      <c r="L33" s="1405"/>
      <c r="M33" s="1404"/>
      <c r="N33" s="1404"/>
      <c r="O33" s="1404"/>
      <c r="S33" s="2183" t="s">
        <v>488</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8"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489</v>
      </c>
      <c r="AC34" s="322"/>
      <c r="AD34" s="322"/>
      <c r="AE34" s="322"/>
      <c r="AF34" s="322"/>
      <c r="AG34" s="322"/>
      <c r="AH34" s="322"/>
      <c r="AI34" s="266" t="s">
        <v>489</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490</v>
      </c>
      <c r="U37" s="289"/>
      <c r="V37" s="2207" t="s">
        <v>491</v>
      </c>
      <c r="W37" s="2208"/>
      <c r="X37" s="2208"/>
      <c r="Y37" s="2208"/>
      <c r="Z37" s="2208"/>
      <c r="AA37" s="2209"/>
      <c r="AB37" s="2210" t="s">
        <v>492</v>
      </c>
      <c r="AC37" s="2207" t="s">
        <v>491</v>
      </c>
      <c r="AD37" s="2208"/>
      <c r="AE37" s="2208"/>
      <c r="AF37" s="2208"/>
      <c r="AG37" s="2208"/>
      <c r="AH37" s="2209"/>
      <c r="AI37" s="2210" t="s">
        <v>493</v>
      </c>
      <c r="AJ37" s="2213" t="s">
        <v>494</v>
      </c>
      <c r="AK37" s="1966"/>
    </row>
    <row customHeight="1" ht="33.75">
      <c r="Q38" s="377"/>
      <c r="R38" s="377"/>
      <c r="S38" s="2206"/>
      <c r="T38" s="2047"/>
      <c r="U38" s="1044"/>
      <c r="V38" s="1488" t="s">
        <v>1685</v>
      </c>
      <c r="W38" s="2195" t="s">
        <v>497</v>
      </c>
      <c r="X38" s="2196"/>
      <c r="Y38" s="2195" t="s">
        <v>498</v>
      </c>
      <c r="Z38" s="2202"/>
      <c r="AA38" s="2196"/>
      <c r="AB38" s="2211"/>
      <c r="AC38" s="1488" t="s">
        <v>1685</v>
      </c>
      <c r="AD38" s="2195" t="s">
        <v>497</v>
      </c>
      <c r="AE38" s="2196"/>
      <c r="AF38" s="2195" t="s">
        <v>498</v>
      </c>
      <c r="AG38" s="2202"/>
      <c r="AH38" s="2196"/>
      <c r="AI38" s="2211"/>
      <c r="AJ38" s="2214"/>
      <c r="AK38" s="1966"/>
    </row>
    <row customHeight="1" ht="33.75">
      <c r="A39" s="1406"/>
      <c r="B39" s="1406" t="s">
        <v>142</v>
      </c>
      <c r="C39" s="1406" t="s">
        <v>143</v>
      </c>
      <c r="D39" s="1406" t="s">
        <v>144</v>
      </c>
      <c r="E39" s="1400" t="s">
        <v>499</v>
      </c>
      <c r="F39" s="1400" t="s">
        <v>500</v>
      </c>
      <c r="G39" s="1400" t="s">
        <v>501</v>
      </c>
      <c r="H39" s="1400"/>
      <c r="I39" s="1400" t="s">
        <v>1686</v>
      </c>
      <c r="J39" s="1400" t="s">
        <v>504</v>
      </c>
      <c r="K39" s="1400" t="s">
        <v>1687</v>
      </c>
      <c r="L39" s="1400" t="s">
        <v>480</v>
      </c>
      <c r="Q39" s="377"/>
      <c r="R39" s="377"/>
      <c r="S39" s="2206"/>
      <c r="T39" s="2047"/>
      <c r="U39" s="290"/>
      <c r="V39" s="1488" t="s">
        <v>1688</v>
      </c>
      <c r="W39" s="1243" t="s">
        <v>1689</v>
      </c>
      <c r="X39" s="1243" t="s">
        <v>1690</v>
      </c>
      <c r="Y39" s="1491" t="s">
        <v>508</v>
      </c>
      <c r="Z39" s="2203" t="s">
        <v>509</v>
      </c>
      <c r="AA39" s="2204"/>
      <c r="AB39" s="2212"/>
      <c r="AC39" s="1488" t="s">
        <v>1688</v>
      </c>
      <c r="AD39" s="1243" t="s">
        <v>1689</v>
      </c>
      <c r="AE39" s="1243" t="s">
        <v>1690</v>
      </c>
      <c r="AF39" s="1491" t="s">
        <v>508</v>
      </c>
      <c r="AG39" s="2203" t="s">
        <v>509</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224</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130</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224</v>
      </c>
      <c r="B42" s="1399" t="s">
        <v>225</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462</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463</v>
      </c>
      <c r="AM42" s="508"/>
      <c r="AN42" s="508" t="str">
        <f>IF(T42="","",T42)</f>
        <v>Территория действия тарифа</v>
      </c>
      <c r="AO42" s="508"/>
      <c r="AP42" s="508"/>
    </row>
    <row customHeight="1" ht="23.25">
      <c r="A43" s="1399" t="s">
        <v>224</v>
      </c>
      <c r="B43" s="1399" t="s">
        <v>225</v>
      </c>
      <c r="C43" s="1399" t="s">
        <v>226</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1677</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1678</v>
      </c>
      <c r="AM43" s="508"/>
      <c r="AN43" s="508" t="str">
        <f>IF(T43="","",T43)</f>
        <v>Наименование централизованной системы холодного водоснабжения</v>
      </c>
      <c r="AO43" s="508"/>
      <c r="AP43" s="508"/>
    </row>
    <row customHeight="1" ht="23.25">
      <c r="A44" s="1399" t="s">
        <v>224</v>
      </c>
      <c r="B44" s="1399" t="s">
        <v>225</v>
      </c>
      <c r="C44" s="1399" t="s">
        <v>226</v>
      </c>
      <c r="D44" s="1399" t="s">
        <v>1694</v>
      </c>
      <c r="E44" s="2192"/>
      <c r="F44" s="2192"/>
      <c r="G44" s="2192"/>
      <c r="H44" s="2192"/>
      <c r="I44" s="2189" t="str">
        <f>S43&amp;".1"</f>
        <v>...1</v>
      </c>
      <c r="J44" s="1399"/>
      <c r="K44" s="1399"/>
      <c r="L44" s="1400"/>
      <c r="P44" s="2190">
        <v>1</v>
      </c>
      <c r="Q44" s="1486"/>
      <c r="R44" s="352"/>
      <c r="S44" s="1493" t="str">
        <f>$I44</f>
        <v>...1</v>
      </c>
      <c r="T44" s="273" t="s">
        <v>1679</v>
      </c>
      <c r="U44" s="288"/>
      <c r="V44" s="2322"/>
      <c r="W44" s="2323"/>
      <c r="X44" s="2323"/>
      <c r="Y44" s="2323"/>
      <c r="Z44" s="2323"/>
      <c r="AA44" s="2323"/>
      <c r="AB44" s="2324"/>
      <c r="AC44" s="2325"/>
      <c r="AD44" s="2326"/>
      <c r="AE44" s="2326"/>
      <c r="AF44" s="2326"/>
      <c r="AG44" s="2326"/>
      <c r="AH44" s="2326"/>
      <c r="AI44" s="2326"/>
      <c r="AJ44" s="2327"/>
      <c r="AK44" s="1292" t="s">
        <v>1680</v>
      </c>
      <c r="AM44" s="508"/>
      <c r="AN44" s="508" t="str">
        <f>IF(T44="","",T44)</f>
        <v>Наименование признака дифференциации</v>
      </c>
      <c r="AO44" s="508"/>
      <c r="AP44" s="508"/>
    </row>
    <row customHeight="1" ht="23.25">
      <c r="A45" s="1399" t="s">
        <v>224</v>
      </c>
      <c r="B45" s="1399" t="s">
        <v>225</v>
      </c>
      <c r="C45" s="1399" t="s">
        <v>226</v>
      </c>
      <c r="D45" s="1399" t="s">
        <v>1694</v>
      </c>
      <c r="E45" s="2192"/>
      <c r="F45" s="2192"/>
      <c r="G45" s="2192"/>
      <c r="H45" s="2192"/>
      <c r="I45" s="2219"/>
      <c r="J45" s="2189" t="str">
        <f>I44&amp;".1"</f>
        <v>...1.1</v>
      </c>
      <c r="K45" s="1399"/>
      <c r="L45" s="1400" t="s">
        <v>471</v>
      </c>
      <c r="P45" s="2190"/>
      <c r="Q45" s="2190">
        <v>1</v>
      </c>
      <c r="R45" s="353"/>
      <c r="S45" s="1493" t="str">
        <f>$J45</f>
        <v>...1.1</v>
      </c>
      <c r="T45" s="274" t="s">
        <v>472</v>
      </c>
      <c r="U45" s="288"/>
      <c r="V45" s="2178"/>
      <c r="W45" s="2179"/>
      <c r="X45" s="2179"/>
      <c r="Y45" s="2179"/>
      <c r="Z45" s="2179"/>
      <c r="AA45" s="2179"/>
      <c r="AB45" s="2180"/>
      <c r="AC45" s="2178"/>
      <c r="AD45" s="2179"/>
      <c r="AE45" s="2179"/>
      <c r="AF45" s="2179"/>
      <c r="AG45" s="2179"/>
      <c r="AH45" s="2179"/>
      <c r="AI45" s="2179"/>
      <c r="AJ45" s="2180"/>
      <c r="AK45" s="1343" t="s">
        <v>1681</v>
      </c>
      <c r="AM45" s="508"/>
      <c r="AN45" s="508" t="str">
        <f>IF(T45="","",T45)</f>
        <v>Группа потребителей</v>
      </c>
      <c r="AO45" s="508"/>
      <c r="AP45" s="508"/>
    </row>
    <row customHeight="1" ht="23.25">
      <c r="A46" s="1399" t="s">
        <v>224</v>
      </c>
      <c r="B46" s="1399" t="s">
        <v>225</v>
      </c>
      <c r="C46" s="1399" t="s">
        <v>226</v>
      </c>
      <c r="D46" s="1399" t="s">
        <v>1694</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224</v>
      </c>
      <c r="B47" s="1399" t="s">
        <v>225</v>
      </c>
      <c r="C47" s="1399" t="s">
        <v>226</v>
      </c>
      <c r="D47" s="1399" t="s">
        <v>1694</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224</v>
      </c>
      <c r="B48" s="1399" t="s">
        <v>225</v>
      </c>
      <c r="C48" s="1399" t="s">
        <v>226</v>
      </c>
      <c r="D48" s="1399" t="s">
        <v>1694</v>
      </c>
      <c r="E48" s="2192"/>
      <c r="F48" s="2192"/>
      <c r="G48" s="2192"/>
      <c r="H48" s="2192"/>
      <c r="I48" s="2219"/>
      <c r="J48" s="2189"/>
      <c r="K48" s="1399"/>
      <c r="L48" s="1400"/>
      <c r="P48" s="2190"/>
      <c r="Q48" s="2190"/>
      <c r="R48" s="352"/>
      <c r="S48" s="1314"/>
      <c r="T48" s="275" t="s">
        <v>1682</v>
      </c>
      <c r="U48" s="367"/>
      <c r="V48" s="367"/>
      <c r="W48" s="367"/>
      <c r="X48" s="367"/>
      <c r="Y48" s="367"/>
      <c r="Z48" s="367"/>
      <c r="AA48" s="367"/>
      <c r="AB48" s="367"/>
      <c r="AC48" s="367"/>
      <c r="AD48" s="367"/>
      <c r="AE48" s="367"/>
      <c r="AF48" s="367"/>
      <c r="AG48" s="367"/>
      <c r="AH48" s="367"/>
      <c r="AI48" s="367"/>
      <c r="AJ48" s="367"/>
      <c r="AK48" s="1292" t="s">
        <v>1683</v>
      </c>
      <c r="AM48" s="508"/>
      <c r="AN48" s="508" t="str">
        <f>IF(T48="","",T48)</f>
        <v>Добавить значение признака дифференциации</v>
      </c>
      <c r="AO48" s="508"/>
      <c r="AP48" s="508"/>
    </row>
    <row customHeight="1" ht="21">
      <c r="A49" s="1399" t="s">
        <v>224</v>
      </c>
      <c r="B49" s="1399" t="s">
        <v>225</v>
      </c>
      <c r="C49" s="1399" t="s">
        <v>226</v>
      </c>
      <c r="D49" s="1399" t="s">
        <v>1694</v>
      </c>
      <c r="E49" s="2192"/>
      <c r="F49" s="2192"/>
      <c r="G49" s="2192"/>
      <c r="H49" s="2192"/>
      <c r="I49" s="2189"/>
      <c r="J49" s="1399"/>
      <c r="K49" s="1399"/>
      <c r="L49" s="1400"/>
      <c r="P49" s="2190"/>
      <c r="Q49" s="1486"/>
      <c r="R49" s="352"/>
      <c r="S49" s="1314"/>
      <c r="T49" s="364" t="s">
        <v>477</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224</v>
      </c>
      <c r="B50" s="1399" t="s">
        <v>225</v>
      </c>
      <c r="C50" s="1399" t="s">
        <v>226</v>
      </c>
      <c r="D50" s="1399" t="s">
        <v>1694</v>
      </c>
      <c r="E50" s="2192"/>
      <c r="F50" s="2192"/>
      <c r="G50" s="2192"/>
      <c r="H50" s="2191"/>
      <c r="I50" s="1399"/>
      <c r="J50" s="1399"/>
      <c r="K50" s="1399"/>
      <c r="L50" s="1400"/>
      <c r="M50" s="1401"/>
      <c r="N50" s="1401"/>
      <c r="O50" s="545"/>
      <c r="P50" s="356"/>
      <c r="Q50" s="376"/>
      <c r="R50" s="351"/>
      <c r="S50" s="1314"/>
      <c r="T50" s="372" t="s">
        <v>1684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9" customFormat="1" customHeight="1" ht="0">
      <c r="A51" s="1379" t="s">
        <v>224</v>
      </c>
      <c r="B51" s="1379" t="s">
        <v>225</v>
      </c>
      <c r="C51" s="1350"/>
      <c r="D51" s="1350"/>
      <c r="E51" s="2192"/>
      <c r="F51" s="2191"/>
      <c r="G51" s="1350"/>
      <c r="H51" s="1350"/>
      <c r="I51" s="1350"/>
      <c r="J51" s="1350"/>
      <c r="K51" s="1350"/>
      <c r="L51" s="1494"/>
      <c r="M51" s="1357"/>
      <c r="N51" s="1357"/>
      <c r="P51" s="1352"/>
      <c r="Q51" s="1353"/>
      <c r="R51" s="1352"/>
      <c r="S51" s="1358"/>
      <c r="T51" s="1361" t="s">
        <v>436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224</v>
      </c>
      <c r="B52" s="1379"/>
      <c r="C52" s="1379"/>
      <c r="D52" s="1379"/>
      <c r="E52" s="2191"/>
      <c r="F52" s="1379"/>
      <c r="G52" s="1379"/>
      <c r="H52" s="1379"/>
      <c r="I52" s="1379"/>
      <c r="J52" s="1379"/>
      <c r="K52" s="1379"/>
      <c r="L52" s="1382"/>
      <c r="M52" s="1357"/>
      <c r="N52" s="1357"/>
      <c r="O52" s="526"/>
      <c r="P52" s="385"/>
      <c r="Q52" s="1380"/>
      <c r="R52" s="385"/>
      <c r="S52" s="1358"/>
      <c r="T52" s="1361" t="s">
        <v>437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9"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510</v>
      </c>
      <c r="T55" s="2218" t="s">
        <v>1692</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510</v>
      </c>
      <c r="T57" s="2218" t="s">
        <v>1693</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C661A3-B0D7-382A-A7F4-FEF4AAD7E6B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59" width="10.57421875" hidden="1"/>
    <col min="2" max="2" style="3159" width="11.00390625" hidden="1" customWidth="1"/>
    <col min="3" max="3" style="3159" width="10.57421875" hidden="1"/>
    <col min="4" max="4" style="3159" width="11.8515625" hidden="1" customWidth="1"/>
    <col min="5" max="5" style="3159" width="10.00390625" hidden="1" customWidth="1"/>
    <col min="6" max="6" style="3159" width="8.7109375" hidden="1" customWidth="1"/>
    <col min="7" max="7" style="3159" width="7.57421875" hidden="1" customWidth="1"/>
    <col min="8" max="8" style="3159" width="11.421875" hidden="1" customWidth="1"/>
    <col min="9" max="9" style="3159" width="14.140625" hidden="1" customWidth="1"/>
    <col min="10" max="10" style="3159" width="9.8515625" hidden="1" customWidth="1"/>
    <col min="11" max="11" style="3159" width="14.7109375" hidden="1" customWidth="1"/>
    <col min="12" max="12" style="4296" width="19.140625" hidden="1" customWidth="1"/>
    <col min="13" max="14" style="3619" width="12.28125" hidden="1" customWidth="1"/>
    <col min="15" max="15" style="3619" width="23.421875" hidden="1" customWidth="1"/>
    <col min="16" max="16" style="4301" width="3.7109375" customWidth="1"/>
    <col min="17" max="18" style="3694" width="3.7109375" customWidth="1"/>
    <col min="19" max="19" style="3695" width="12.7109375" customWidth="1"/>
    <col min="20" max="20" style="2876" width="35.7109375" customWidth="1"/>
    <col min="21" max="21" style="2876" width="0.140625" customWidth="1"/>
    <col min="22" max="24" style="2876" width="24.7109375" hidden="1" customWidth="1"/>
    <col min="25" max="25" style="2876" width="11.7109375" hidden="1" customWidth="1"/>
    <col min="26" max="26" style="2876" width="3.7109375" hidden="1" customWidth="1"/>
    <col min="27" max="27" style="2876" width="11.7109375" hidden="1" customWidth="1"/>
    <col min="28" max="28" style="2876" width="8.57421875" hidden="1" customWidth="1"/>
    <col min="29" max="31" style="2876" width="24.7109375" customWidth="1"/>
    <col min="32" max="32" style="2876" width="11.7109375" customWidth="1"/>
    <col min="33" max="33" style="2876" width="3.7109375" customWidth="1"/>
    <col min="34" max="34" style="2876" width="11.7109375" customWidth="1"/>
    <col min="35" max="35" style="2876" width="8.57421875" hidden="1" customWidth="1"/>
    <col min="36" max="36" style="2876" width="4.7109375" customWidth="1"/>
    <col min="37" max="37" style="2876"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130</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462</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463</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1677</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1678</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1679</v>
      </c>
      <c r="U5" s="288"/>
      <c r="V5" s="2322"/>
      <c r="W5" s="2323"/>
      <c r="X5" s="2323"/>
      <c r="Y5" s="2323"/>
      <c r="Z5" s="2323"/>
      <c r="AA5" s="2323"/>
      <c r="AB5" s="2324"/>
      <c r="AC5" s="2325"/>
      <c r="AD5" s="2326"/>
      <c r="AE5" s="2326"/>
      <c r="AF5" s="2326"/>
      <c r="AG5" s="2326"/>
      <c r="AH5" s="2326"/>
      <c r="AI5" s="2326"/>
      <c r="AJ5" s="2327"/>
      <c r="AK5" s="1292" t="s">
        <v>1680</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471</v>
      </c>
      <c r="P6" s="2190"/>
      <c r="Q6" s="2190">
        <v>1</v>
      </c>
      <c r="R6" s="353"/>
      <c r="S6" s="1493">
        <f>$J6</f>
      </c>
      <c r="T6" s="274" t="s">
        <v>472</v>
      </c>
      <c r="U6" s="288"/>
      <c r="V6" s="2178"/>
      <c r="W6" s="2179"/>
      <c r="X6" s="2179"/>
      <c r="Y6" s="2179"/>
      <c r="Z6" s="2179"/>
      <c r="AA6" s="2179"/>
      <c r="AB6" s="2180"/>
      <c r="AC6" s="2178"/>
      <c r="AD6" s="2179"/>
      <c r="AE6" s="2179"/>
      <c r="AF6" s="2179"/>
      <c r="AG6" s="2179"/>
      <c r="AH6" s="2179"/>
      <c r="AI6" s="2179"/>
      <c r="AJ6" s="2180"/>
      <c r="AK6" s="1343" t="s">
        <v>1681</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1682</v>
      </c>
      <c r="U9" s="367"/>
      <c r="V9" s="367"/>
      <c r="W9" s="367"/>
      <c r="X9" s="367"/>
      <c r="Y9" s="367"/>
      <c r="Z9" s="367"/>
      <c r="AA9" s="367"/>
      <c r="AB9" s="367"/>
      <c r="AC9" s="367"/>
      <c r="AD9" s="367"/>
      <c r="AE9" s="367"/>
      <c r="AF9" s="367"/>
      <c r="AG9" s="367"/>
      <c r="AH9" s="367"/>
      <c r="AI9" s="367"/>
      <c r="AJ9" s="367"/>
      <c r="AK9" s="1292" t="s">
        <v>1683</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477</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9"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59" customFormat="1" customHeight="1" ht="22.5" hidden="1">
      <c r="L18" s="1483"/>
      <c r="M18" s="1398"/>
      <c r="N18" s="1398"/>
      <c r="O18" s="1403" t="s">
        <v>479</v>
      </c>
      <c r="P18" s="1398"/>
      <c r="Q18" s="1407"/>
      <c r="R18" s="1407"/>
      <c r="S18" s="738"/>
      <c r="Y18" s="1403"/>
      <c r="AA18" s="1403"/>
      <c r="AB18" s="1402"/>
      <c r="AF18" s="1403"/>
      <c r="AH18" s="1403"/>
      <c r="AI18" s="1402"/>
      <c r="AL18" s="519"/>
      <c r="AM18" s="519"/>
      <c r="AN18" s="519"/>
      <c r="AO18" s="519"/>
      <c r="AP18" s="519"/>
    </row>
    <row s="3159" customFormat="1" customHeight="1" ht="14.25" hidden="1">
      <c r="L19" s="1483"/>
      <c r="M19" s="1398"/>
      <c r="N19" s="1398"/>
      <c r="O19" s="1398"/>
      <c r="P19" s="1398"/>
      <c r="Q19" s="1407"/>
      <c r="R19" s="1407"/>
      <c r="S19" s="738"/>
      <c r="AB19" s="1402"/>
      <c r="AI19" s="1402"/>
      <c r="AL19" s="519"/>
      <c r="AM19" s="519"/>
      <c r="AN19" s="519"/>
      <c r="AO19" s="519"/>
      <c r="AP19" s="519"/>
    </row>
    <row s="3159" customFormat="1" customHeight="1" ht="12" hidden="1">
      <c r="L20" s="1483"/>
      <c r="M20" s="1398"/>
      <c r="N20" s="1398"/>
      <c r="O20" s="1400" t="s">
        <v>480</v>
      </c>
      <c r="P20" s="1398"/>
      <c r="Q20" s="1478"/>
      <c r="R20" s="1478"/>
      <c r="S20" s="738"/>
      <c r="T20" s="1174" t="s">
        <v>481</v>
      </c>
      <c r="Z20" s="172" t="s">
        <v>482</v>
      </c>
      <c r="AB20" s="172" t="s">
        <v>483</v>
      </c>
      <c r="AC20" s="1174" t="s">
        <v>481</v>
      </c>
      <c r="AG20" s="172" t="s">
        <v>484</v>
      </c>
      <c r="AI20" s="172" t="s">
        <v>483</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"Уссурийск-Водоканал"</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8" customFormat="1" customHeight="1" ht="25.5" hidden="1">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8" customFormat="1" customHeight="1" ht="18.75" hidden="1">
      <c r="A28" s="1404"/>
      <c r="B28" s="1404"/>
      <c r="C28" s="1404"/>
      <c r="D28" s="1404"/>
      <c r="E28" s="1404"/>
      <c r="F28" s="1404"/>
      <c r="G28" s="1404"/>
      <c r="H28" s="1404"/>
      <c r="I28" s="1404"/>
      <c r="J28" s="1404"/>
      <c r="K28" s="1404"/>
      <c r="L28" s="1405"/>
      <c r="M28" s="1404"/>
      <c r="N28" s="1404"/>
      <c r="O28" s="1404"/>
      <c r="S28" s="2183" t="s">
        <v>485</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8" customFormat="1" customHeight="1" ht="18.75" hidden="1">
      <c r="A29" s="1404"/>
      <c r="B29" s="1404"/>
      <c r="C29" s="1404"/>
      <c r="D29" s="1404"/>
      <c r="E29" s="1404"/>
      <c r="F29" s="1404"/>
      <c r="G29" s="1404"/>
      <c r="H29" s="1404"/>
      <c r="I29" s="1404"/>
      <c r="J29" s="1404"/>
      <c r="K29" s="1404"/>
      <c r="L29" s="1405"/>
      <c r="M29" s="1404"/>
      <c r="N29" s="1404"/>
      <c r="O29" s="1404"/>
      <c r="S29" s="2183" t="s">
        <v>486</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8" customFormat="1" customHeight="1" ht="18.75" hidden="1">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8" customFormat="1" customHeight="1" ht="18.75" hidden="1">
      <c r="A32" s="1404"/>
      <c r="B32" s="1404"/>
      <c r="C32" s="1404"/>
      <c r="D32" s="1404"/>
      <c r="E32" s="1404"/>
      <c r="F32" s="1404"/>
      <c r="G32" s="1404"/>
      <c r="H32" s="1404"/>
      <c r="I32" s="1404"/>
      <c r="J32" s="1404"/>
      <c r="K32" s="1404"/>
      <c r="L32" s="1405"/>
      <c r="M32" s="1404"/>
      <c r="N32" s="1404"/>
      <c r="O32" s="1404"/>
      <c r="S32" s="2183" t="s">
        <v>487</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8" customFormat="1" customHeight="1" ht="18.75" hidden="1">
      <c r="A33" s="1404"/>
      <c r="B33" s="1404"/>
      <c r="C33" s="1404"/>
      <c r="D33" s="1404"/>
      <c r="E33" s="1404"/>
      <c r="F33" s="1404"/>
      <c r="G33" s="1404"/>
      <c r="H33" s="1404"/>
      <c r="I33" s="1404"/>
      <c r="J33" s="1404"/>
      <c r="K33" s="1404"/>
      <c r="L33" s="1405"/>
      <c r="M33" s="1404"/>
      <c r="N33" s="1404"/>
      <c r="O33" s="1404"/>
      <c r="S33" s="2183" t="s">
        <v>488</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8"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489</v>
      </c>
      <c r="AC34" s="322"/>
      <c r="AD34" s="322"/>
      <c r="AE34" s="322"/>
      <c r="AF34" s="322"/>
      <c r="AG34" s="322"/>
      <c r="AH34" s="322"/>
      <c r="AI34" s="266" t="s">
        <v>489</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490</v>
      </c>
      <c r="U37" s="289"/>
      <c r="V37" s="2207" t="s">
        <v>491</v>
      </c>
      <c r="W37" s="2208"/>
      <c r="X37" s="2208"/>
      <c r="Y37" s="2208"/>
      <c r="Z37" s="2208"/>
      <c r="AA37" s="2209"/>
      <c r="AB37" s="2210" t="s">
        <v>492</v>
      </c>
      <c r="AC37" s="2207" t="s">
        <v>491</v>
      </c>
      <c r="AD37" s="2208"/>
      <c r="AE37" s="2208"/>
      <c r="AF37" s="2208"/>
      <c r="AG37" s="2208"/>
      <c r="AH37" s="2209"/>
      <c r="AI37" s="2210" t="s">
        <v>493</v>
      </c>
      <c r="AJ37" s="2213" t="s">
        <v>494</v>
      </c>
      <c r="AK37" s="1966"/>
    </row>
    <row customHeight="1" ht="33.75">
      <c r="Q38" s="377"/>
      <c r="R38" s="377"/>
      <c r="S38" s="2206"/>
      <c r="T38" s="2047"/>
      <c r="U38" s="1044"/>
      <c r="V38" s="1488" t="s">
        <v>1685</v>
      </c>
      <c r="W38" s="2195" t="s">
        <v>497</v>
      </c>
      <c r="X38" s="2196"/>
      <c r="Y38" s="2195" t="s">
        <v>498</v>
      </c>
      <c r="Z38" s="2202"/>
      <c r="AA38" s="2196"/>
      <c r="AB38" s="2211"/>
      <c r="AC38" s="1488" t="s">
        <v>1685</v>
      </c>
      <c r="AD38" s="2195" t="s">
        <v>497</v>
      </c>
      <c r="AE38" s="2196"/>
      <c r="AF38" s="2195" t="s">
        <v>498</v>
      </c>
      <c r="AG38" s="2202"/>
      <c r="AH38" s="2196"/>
      <c r="AI38" s="2211"/>
      <c r="AJ38" s="2214"/>
      <c r="AK38" s="1966"/>
    </row>
    <row customHeight="1" ht="33.75">
      <c r="A39" s="1406"/>
      <c r="B39" s="1406" t="s">
        <v>142</v>
      </c>
      <c r="C39" s="1406" t="s">
        <v>143</v>
      </c>
      <c r="D39" s="1406" t="s">
        <v>144</v>
      </c>
      <c r="E39" s="1400" t="s">
        <v>499</v>
      </c>
      <c r="F39" s="1400" t="s">
        <v>500</v>
      </c>
      <c r="G39" s="1400" t="s">
        <v>501</v>
      </c>
      <c r="H39" s="1400"/>
      <c r="I39" s="1400" t="s">
        <v>1686</v>
      </c>
      <c r="J39" s="1400" t="s">
        <v>504</v>
      </c>
      <c r="K39" s="1400" t="s">
        <v>1687</v>
      </c>
      <c r="L39" s="1400" t="s">
        <v>480</v>
      </c>
      <c r="Q39" s="377"/>
      <c r="R39" s="377"/>
      <c r="S39" s="2206"/>
      <c r="T39" s="2047"/>
      <c r="U39" s="290"/>
      <c r="V39" s="1488" t="s">
        <v>1688</v>
      </c>
      <c r="W39" s="1243" t="s">
        <v>1689</v>
      </c>
      <c r="X39" s="1243" t="s">
        <v>1690</v>
      </c>
      <c r="Y39" s="1491" t="s">
        <v>508</v>
      </c>
      <c r="Z39" s="2203" t="s">
        <v>509</v>
      </c>
      <c r="AA39" s="2204"/>
      <c r="AB39" s="2212"/>
      <c r="AC39" s="1488" t="s">
        <v>1688</v>
      </c>
      <c r="AD39" s="1243" t="s">
        <v>1689</v>
      </c>
      <c r="AE39" s="1243" t="s">
        <v>1690</v>
      </c>
      <c r="AF39" s="1491" t="s">
        <v>508</v>
      </c>
      <c r="AG39" s="2203" t="s">
        <v>509</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229</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130</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229</v>
      </c>
      <c r="B42" s="1399" t="s">
        <v>230</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462</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463</v>
      </c>
      <c r="AM42" s="508"/>
      <c r="AN42" s="508" t="str">
        <f>IF(T42="","",T42)</f>
        <v>Территория действия тарифа</v>
      </c>
      <c r="AO42" s="508"/>
      <c r="AP42" s="508"/>
    </row>
    <row customHeight="1" ht="23.25">
      <c r="A43" s="1399" t="s">
        <v>229</v>
      </c>
      <c r="B43" s="1399" t="s">
        <v>230</v>
      </c>
      <c r="C43" s="1399" t="s">
        <v>231</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1677</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1678</v>
      </c>
      <c r="AM43" s="508"/>
      <c r="AN43" s="508" t="str">
        <f>IF(T43="","",T43)</f>
        <v>Наименование централизованной системы холодного водоснабжения</v>
      </c>
      <c r="AO43" s="508"/>
      <c r="AP43" s="508"/>
    </row>
    <row customHeight="1" ht="23.25">
      <c r="A44" s="1399" t="s">
        <v>229</v>
      </c>
      <c r="B44" s="1399" t="s">
        <v>230</v>
      </c>
      <c r="C44" s="1399" t="s">
        <v>231</v>
      </c>
      <c r="D44" s="1399" t="s">
        <v>1695</v>
      </c>
      <c r="E44" s="2192"/>
      <c r="F44" s="2192"/>
      <c r="G44" s="2192"/>
      <c r="H44" s="2192"/>
      <c r="I44" s="2189" t="str">
        <f>S43&amp;".1"</f>
        <v>...1</v>
      </c>
      <c r="J44" s="1399"/>
      <c r="K44" s="1399"/>
      <c r="L44" s="1400"/>
      <c r="P44" s="2190">
        <v>1</v>
      </c>
      <c r="Q44" s="1486"/>
      <c r="R44" s="352"/>
      <c r="S44" s="1493" t="str">
        <f>$I44</f>
        <v>...1</v>
      </c>
      <c r="T44" s="273" t="s">
        <v>1679</v>
      </c>
      <c r="U44" s="288"/>
      <c r="V44" s="2322"/>
      <c r="W44" s="2323"/>
      <c r="X44" s="2323"/>
      <c r="Y44" s="2323"/>
      <c r="Z44" s="2323"/>
      <c r="AA44" s="2323"/>
      <c r="AB44" s="2324"/>
      <c r="AC44" s="2325"/>
      <c r="AD44" s="2326"/>
      <c r="AE44" s="2326"/>
      <c r="AF44" s="2326"/>
      <c r="AG44" s="2326"/>
      <c r="AH44" s="2326"/>
      <c r="AI44" s="2326"/>
      <c r="AJ44" s="2327"/>
      <c r="AK44" s="1292" t="s">
        <v>1680</v>
      </c>
      <c r="AM44" s="508"/>
      <c r="AN44" s="508" t="str">
        <f>IF(T44="","",T44)</f>
        <v>Наименование признака дифференциации</v>
      </c>
      <c r="AO44" s="508"/>
      <c r="AP44" s="508"/>
    </row>
    <row customHeight="1" ht="23.25">
      <c r="A45" s="1399" t="s">
        <v>229</v>
      </c>
      <c r="B45" s="1399" t="s">
        <v>230</v>
      </c>
      <c r="C45" s="1399" t="s">
        <v>231</v>
      </c>
      <c r="D45" s="1399" t="s">
        <v>1695</v>
      </c>
      <c r="E45" s="2192"/>
      <c r="F45" s="2192"/>
      <c r="G45" s="2192"/>
      <c r="H45" s="2192"/>
      <c r="I45" s="2219"/>
      <c r="J45" s="2189" t="str">
        <f>I44&amp;".1"</f>
        <v>...1.1</v>
      </c>
      <c r="K45" s="1399"/>
      <c r="L45" s="1400" t="s">
        <v>471</v>
      </c>
      <c r="P45" s="2190"/>
      <c r="Q45" s="2190">
        <v>1</v>
      </c>
      <c r="R45" s="353"/>
      <c r="S45" s="1493" t="str">
        <f>$J45</f>
        <v>...1.1</v>
      </c>
      <c r="T45" s="274" t="s">
        <v>472</v>
      </c>
      <c r="U45" s="288"/>
      <c r="V45" s="2178"/>
      <c r="W45" s="2179"/>
      <c r="X45" s="2179"/>
      <c r="Y45" s="2179"/>
      <c r="Z45" s="2179"/>
      <c r="AA45" s="2179"/>
      <c r="AB45" s="2180"/>
      <c r="AC45" s="2178"/>
      <c r="AD45" s="2179"/>
      <c r="AE45" s="2179"/>
      <c r="AF45" s="2179"/>
      <c r="AG45" s="2179"/>
      <c r="AH45" s="2179"/>
      <c r="AI45" s="2179"/>
      <c r="AJ45" s="2180"/>
      <c r="AK45" s="1343" t="s">
        <v>1681</v>
      </c>
      <c r="AM45" s="508"/>
      <c r="AN45" s="508" t="str">
        <f>IF(T45="","",T45)</f>
        <v>Группа потребителей</v>
      </c>
      <c r="AO45" s="508"/>
      <c r="AP45" s="508"/>
    </row>
    <row customHeight="1" ht="23.25">
      <c r="A46" s="1399" t="s">
        <v>229</v>
      </c>
      <c r="B46" s="1399" t="s">
        <v>230</v>
      </c>
      <c r="C46" s="1399" t="s">
        <v>231</v>
      </c>
      <c r="D46" s="1399" t="s">
        <v>1695</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229</v>
      </c>
      <c r="B47" s="1399" t="s">
        <v>230</v>
      </c>
      <c r="C47" s="1399" t="s">
        <v>231</v>
      </c>
      <c r="D47" s="1399" t="s">
        <v>1695</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229</v>
      </c>
      <c r="B48" s="1399" t="s">
        <v>230</v>
      </c>
      <c r="C48" s="1399" t="s">
        <v>231</v>
      </c>
      <c r="D48" s="1399" t="s">
        <v>1695</v>
      </c>
      <c r="E48" s="2192"/>
      <c r="F48" s="2192"/>
      <c r="G48" s="2192"/>
      <c r="H48" s="2192"/>
      <c r="I48" s="2219"/>
      <c r="J48" s="2189"/>
      <c r="K48" s="1399"/>
      <c r="L48" s="1400"/>
      <c r="P48" s="2190"/>
      <c r="Q48" s="2190"/>
      <c r="R48" s="352"/>
      <c r="S48" s="1314"/>
      <c r="T48" s="275" t="s">
        <v>1682</v>
      </c>
      <c r="U48" s="367"/>
      <c r="V48" s="367"/>
      <c r="W48" s="367"/>
      <c r="X48" s="367"/>
      <c r="Y48" s="367"/>
      <c r="Z48" s="367"/>
      <c r="AA48" s="367"/>
      <c r="AB48" s="367"/>
      <c r="AC48" s="367"/>
      <c r="AD48" s="367"/>
      <c r="AE48" s="367"/>
      <c r="AF48" s="367"/>
      <c r="AG48" s="367"/>
      <c r="AH48" s="367"/>
      <c r="AI48" s="367"/>
      <c r="AJ48" s="367"/>
      <c r="AK48" s="1292" t="s">
        <v>1683</v>
      </c>
      <c r="AM48" s="508"/>
      <c r="AN48" s="508" t="str">
        <f>IF(T48="","",T48)</f>
        <v>Добавить значение признака дифференциации</v>
      </c>
      <c r="AO48" s="508"/>
      <c r="AP48" s="508"/>
    </row>
    <row customHeight="1" ht="21">
      <c r="A49" s="1399" t="s">
        <v>229</v>
      </c>
      <c r="B49" s="1399" t="s">
        <v>230</v>
      </c>
      <c r="C49" s="1399" t="s">
        <v>231</v>
      </c>
      <c r="D49" s="1399" t="s">
        <v>1695</v>
      </c>
      <c r="E49" s="2192"/>
      <c r="F49" s="2192"/>
      <c r="G49" s="2192"/>
      <c r="H49" s="2192"/>
      <c r="I49" s="2189"/>
      <c r="J49" s="1399"/>
      <c r="K49" s="1399"/>
      <c r="L49" s="1400"/>
      <c r="P49" s="2190"/>
      <c r="Q49" s="1486"/>
      <c r="R49" s="352"/>
      <c r="S49" s="1314"/>
      <c r="T49" s="364" t="s">
        <v>477</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229</v>
      </c>
      <c r="B50" s="1399" t="s">
        <v>230</v>
      </c>
      <c r="C50" s="1399" t="s">
        <v>231</v>
      </c>
      <c r="D50" s="1399" t="s">
        <v>1695</v>
      </c>
      <c r="E50" s="2192"/>
      <c r="F50" s="2192"/>
      <c r="G50" s="2192"/>
      <c r="H50" s="2191"/>
      <c r="I50" s="1399"/>
      <c r="J50" s="1399"/>
      <c r="K50" s="1399"/>
      <c r="L50" s="1400"/>
      <c r="M50" s="1401"/>
      <c r="N50" s="1401"/>
      <c r="O50" s="545"/>
      <c r="P50" s="356"/>
      <c r="Q50" s="376"/>
      <c r="R50" s="351"/>
      <c r="S50" s="1314"/>
      <c r="T50" s="372" t="s">
        <v>1684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9" customFormat="1" customHeight="1" ht="0">
      <c r="A51" s="1379" t="s">
        <v>229</v>
      </c>
      <c r="B51" s="1379" t="s">
        <v>230</v>
      </c>
      <c r="C51" s="1350"/>
      <c r="D51" s="1350"/>
      <c r="E51" s="2192"/>
      <c r="F51" s="2191"/>
      <c r="G51" s="1350"/>
      <c r="H51" s="1350"/>
      <c r="I51" s="1350"/>
      <c r="J51" s="1350"/>
      <c r="K51" s="1350"/>
      <c r="L51" s="1494"/>
      <c r="M51" s="1357"/>
      <c r="N51" s="1357"/>
      <c r="P51" s="1352"/>
      <c r="Q51" s="1353"/>
      <c r="R51" s="1352"/>
      <c r="S51" s="1358"/>
      <c r="T51" s="1361" t="s">
        <v>436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229</v>
      </c>
      <c r="B52" s="1379"/>
      <c r="C52" s="1379"/>
      <c r="D52" s="1379"/>
      <c r="E52" s="2191"/>
      <c r="F52" s="1379"/>
      <c r="G52" s="1379"/>
      <c r="H52" s="1379"/>
      <c r="I52" s="1379"/>
      <c r="J52" s="1379"/>
      <c r="K52" s="1379"/>
      <c r="L52" s="1382"/>
      <c r="M52" s="1357"/>
      <c r="N52" s="1357"/>
      <c r="O52" s="526"/>
      <c r="P52" s="385"/>
      <c r="Q52" s="1380"/>
      <c r="R52" s="385"/>
      <c r="S52" s="1358"/>
      <c r="T52" s="1361" t="s">
        <v>437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9"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510</v>
      </c>
      <c r="T55" s="2218" t="s">
        <v>1692</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510</v>
      </c>
      <c r="T57" s="2218" t="s">
        <v>1693</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43A3B1-7B5C-E595-1D2F-A8CD6FF746F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59" width="10.57421875" hidden="1"/>
    <col min="2" max="2" style="3159" width="11.00390625" hidden="1" customWidth="1"/>
    <col min="3" max="3" style="3159" width="10.57421875" hidden="1"/>
    <col min="4" max="4" style="3159" width="11.8515625" hidden="1" customWidth="1"/>
    <col min="5" max="5" style="3159" width="10.00390625" hidden="1" customWidth="1"/>
    <col min="6" max="6" style="3159" width="8.7109375" hidden="1" customWidth="1"/>
    <col min="7" max="7" style="3159" width="7.57421875" hidden="1" customWidth="1"/>
    <col min="8" max="8" style="3159" width="11.421875" hidden="1" customWidth="1"/>
    <col min="9" max="9" style="3159" width="14.140625" hidden="1" customWidth="1"/>
    <col min="10" max="10" style="3159" width="9.8515625" hidden="1" customWidth="1"/>
    <col min="11" max="11" style="3159" width="14.7109375" hidden="1" customWidth="1"/>
    <col min="12" max="12" style="4296" width="19.140625" hidden="1" customWidth="1"/>
    <col min="13" max="14" style="3619" width="12.28125" hidden="1" customWidth="1"/>
    <col min="15" max="15" style="3619" width="23.421875" hidden="1" customWidth="1"/>
    <col min="16" max="16" style="4301" width="3.7109375" customWidth="1"/>
    <col min="17" max="18" style="3694" width="3.7109375" customWidth="1"/>
    <col min="19" max="19" style="3695" width="12.7109375" customWidth="1"/>
    <col min="20" max="20" style="2876" width="35.7109375" customWidth="1"/>
    <col min="21" max="21" style="2876" width="0.140625" customWidth="1"/>
    <col min="22" max="24" style="2876" width="24.7109375" hidden="1" customWidth="1"/>
    <col min="25" max="25" style="2876" width="11.7109375" hidden="1" customWidth="1"/>
    <col min="26" max="26" style="2876" width="3.7109375" hidden="1" customWidth="1"/>
    <col min="27" max="27" style="2876" width="11.7109375" hidden="1" customWidth="1"/>
    <col min="28" max="28" style="2876" width="8.57421875" hidden="1" customWidth="1"/>
    <col min="29" max="31" style="2876" width="24.7109375" customWidth="1"/>
    <col min="32" max="32" style="2876" width="11.7109375" customWidth="1"/>
    <col min="33" max="33" style="2876" width="3.7109375" customWidth="1"/>
    <col min="34" max="34" style="2876" width="11.7109375" customWidth="1"/>
    <col min="35" max="35" style="2876" width="8.57421875" hidden="1" customWidth="1"/>
    <col min="36" max="36" style="2876" width="4.7109375" customWidth="1"/>
    <col min="37" max="37" style="2876"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130</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462</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463</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1677</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1678</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1679</v>
      </c>
      <c r="U5" s="288"/>
      <c r="V5" s="2322"/>
      <c r="W5" s="2323"/>
      <c r="X5" s="2323"/>
      <c r="Y5" s="2323"/>
      <c r="Z5" s="2323"/>
      <c r="AA5" s="2323"/>
      <c r="AB5" s="2324"/>
      <c r="AC5" s="2325"/>
      <c r="AD5" s="2326"/>
      <c r="AE5" s="2326"/>
      <c r="AF5" s="2326"/>
      <c r="AG5" s="2326"/>
      <c r="AH5" s="2326"/>
      <c r="AI5" s="2326"/>
      <c r="AJ5" s="2327"/>
      <c r="AK5" s="1292" t="s">
        <v>1680</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471</v>
      </c>
      <c r="P6" s="2190"/>
      <c r="Q6" s="2190">
        <v>1</v>
      </c>
      <c r="R6" s="353"/>
      <c r="S6" s="1493">
        <f>$J6</f>
      </c>
      <c r="T6" s="274" t="s">
        <v>472</v>
      </c>
      <c r="U6" s="288"/>
      <c r="V6" s="2178"/>
      <c r="W6" s="2179"/>
      <c r="X6" s="2179"/>
      <c r="Y6" s="2179"/>
      <c r="Z6" s="2179"/>
      <c r="AA6" s="2179"/>
      <c r="AB6" s="2180"/>
      <c r="AC6" s="2178"/>
      <c r="AD6" s="2179"/>
      <c r="AE6" s="2179"/>
      <c r="AF6" s="2179"/>
      <c r="AG6" s="2179"/>
      <c r="AH6" s="2179"/>
      <c r="AI6" s="2179"/>
      <c r="AJ6" s="2180"/>
      <c r="AK6" s="1343" t="s">
        <v>1681</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1682</v>
      </c>
      <c r="U9" s="367"/>
      <c r="V9" s="367"/>
      <c r="W9" s="367"/>
      <c r="X9" s="367"/>
      <c r="Y9" s="367"/>
      <c r="Z9" s="367"/>
      <c r="AA9" s="367"/>
      <c r="AB9" s="367"/>
      <c r="AC9" s="367"/>
      <c r="AD9" s="367"/>
      <c r="AE9" s="367"/>
      <c r="AF9" s="367"/>
      <c r="AG9" s="367"/>
      <c r="AH9" s="367"/>
      <c r="AI9" s="367"/>
      <c r="AJ9" s="367"/>
      <c r="AK9" s="1292" t="s">
        <v>1683</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477</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9"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59" customFormat="1" customHeight="1" ht="22.5" hidden="1">
      <c r="L18" s="1483"/>
      <c r="M18" s="1398"/>
      <c r="N18" s="1398"/>
      <c r="O18" s="1403" t="s">
        <v>479</v>
      </c>
      <c r="P18" s="1398"/>
      <c r="Q18" s="1407"/>
      <c r="R18" s="1407"/>
      <c r="S18" s="738"/>
      <c r="Y18" s="1403"/>
      <c r="AA18" s="1403"/>
      <c r="AB18" s="1402"/>
      <c r="AF18" s="1403"/>
      <c r="AH18" s="1403"/>
      <c r="AI18" s="1402"/>
      <c r="AL18" s="519"/>
      <c r="AM18" s="519"/>
      <c r="AN18" s="519"/>
      <c r="AO18" s="519"/>
      <c r="AP18" s="519"/>
    </row>
    <row s="3159" customFormat="1" customHeight="1" ht="14.25" hidden="1">
      <c r="L19" s="1483"/>
      <c r="M19" s="1398"/>
      <c r="N19" s="1398"/>
      <c r="O19" s="1398"/>
      <c r="P19" s="1398"/>
      <c r="Q19" s="1407"/>
      <c r="R19" s="1407"/>
      <c r="S19" s="738"/>
      <c r="AB19" s="1402"/>
      <c r="AI19" s="1402"/>
      <c r="AL19" s="519"/>
      <c r="AM19" s="519"/>
      <c r="AN19" s="519"/>
      <c r="AO19" s="519"/>
      <c r="AP19" s="519"/>
    </row>
    <row s="3159" customFormat="1" customHeight="1" ht="12" hidden="1">
      <c r="L20" s="1483"/>
      <c r="M20" s="1398"/>
      <c r="N20" s="1398"/>
      <c r="O20" s="1400" t="s">
        <v>480</v>
      </c>
      <c r="P20" s="1398"/>
      <c r="Q20" s="1478"/>
      <c r="R20" s="1478"/>
      <c r="S20" s="738"/>
      <c r="T20" s="1174" t="s">
        <v>481</v>
      </c>
      <c r="Z20" s="172" t="s">
        <v>482</v>
      </c>
      <c r="AB20" s="172" t="s">
        <v>483</v>
      </c>
      <c r="AC20" s="1174" t="s">
        <v>481</v>
      </c>
      <c r="AG20" s="172" t="s">
        <v>484</v>
      </c>
      <c r="AI20" s="172" t="s">
        <v>483</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"Уссурийск-Водоканал"</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8" customFormat="1" customHeight="1" ht="25.5" hidden="1">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8" customFormat="1" customHeight="1" ht="18.75" hidden="1">
      <c r="A28" s="1404"/>
      <c r="B28" s="1404"/>
      <c r="C28" s="1404"/>
      <c r="D28" s="1404"/>
      <c r="E28" s="1404"/>
      <c r="F28" s="1404"/>
      <c r="G28" s="1404"/>
      <c r="H28" s="1404"/>
      <c r="I28" s="1404"/>
      <c r="J28" s="1404"/>
      <c r="K28" s="1404"/>
      <c r="L28" s="1405"/>
      <c r="M28" s="1404"/>
      <c r="N28" s="1404"/>
      <c r="O28" s="1404"/>
      <c r="S28" s="2183" t="s">
        <v>485</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8" customFormat="1" customHeight="1" ht="18.75" hidden="1">
      <c r="A29" s="1404"/>
      <c r="B29" s="1404"/>
      <c r="C29" s="1404"/>
      <c r="D29" s="1404"/>
      <c r="E29" s="1404"/>
      <c r="F29" s="1404"/>
      <c r="G29" s="1404"/>
      <c r="H29" s="1404"/>
      <c r="I29" s="1404"/>
      <c r="J29" s="1404"/>
      <c r="K29" s="1404"/>
      <c r="L29" s="1405"/>
      <c r="M29" s="1404"/>
      <c r="N29" s="1404"/>
      <c r="O29" s="1404"/>
      <c r="S29" s="2183" t="s">
        <v>486</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8" customFormat="1" customHeight="1" ht="18.75" hidden="1">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8" customFormat="1" customHeight="1" ht="18.75" hidden="1">
      <c r="A32" s="1404"/>
      <c r="B32" s="1404"/>
      <c r="C32" s="1404"/>
      <c r="D32" s="1404"/>
      <c r="E32" s="1404"/>
      <c r="F32" s="1404"/>
      <c r="G32" s="1404"/>
      <c r="H32" s="1404"/>
      <c r="I32" s="1404"/>
      <c r="J32" s="1404"/>
      <c r="K32" s="1404"/>
      <c r="L32" s="1405"/>
      <c r="M32" s="1404"/>
      <c r="N32" s="1404"/>
      <c r="O32" s="1404"/>
      <c r="S32" s="2183" t="s">
        <v>487</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8" customFormat="1" customHeight="1" ht="18.75" hidden="1">
      <c r="A33" s="1404"/>
      <c r="B33" s="1404"/>
      <c r="C33" s="1404"/>
      <c r="D33" s="1404"/>
      <c r="E33" s="1404"/>
      <c r="F33" s="1404"/>
      <c r="G33" s="1404"/>
      <c r="H33" s="1404"/>
      <c r="I33" s="1404"/>
      <c r="J33" s="1404"/>
      <c r="K33" s="1404"/>
      <c r="L33" s="1405"/>
      <c r="M33" s="1404"/>
      <c r="N33" s="1404"/>
      <c r="O33" s="1404"/>
      <c r="S33" s="2183" t="s">
        <v>488</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8"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489</v>
      </c>
      <c r="AC34" s="322"/>
      <c r="AD34" s="322"/>
      <c r="AE34" s="322"/>
      <c r="AF34" s="322"/>
      <c r="AG34" s="322"/>
      <c r="AH34" s="322"/>
      <c r="AI34" s="266" t="s">
        <v>489</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490</v>
      </c>
      <c r="U37" s="289"/>
      <c r="V37" s="2207" t="s">
        <v>491</v>
      </c>
      <c r="W37" s="2208"/>
      <c r="X37" s="2208"/>
      <c r="Y37" s="2208"/>
      <c r="Z37" s="2208"/>
      <c r="AA37" s="2209"/>
      <c r="AB37" s="2210" t="s">
        <v>492</v>
      </c>
      <c r="AC37" s="2207" t="s">
        <v>491</v>
      </c>
      <c r="AD37" s="2208"/>
      <c r="AE37" s="2208"/>
      <c r="AF37" s="2208"/>
      <c r="AG37" s="2208"/>
      <c r="AH37" s="2209"/>
      <c r="AI37" s="2210" t="s">
        <v>493</v>
      </c>
      <c r="AJ37" s="2213" t="s">
        <v>494</v>
      </c>
      <c r="AK37" s="1966"/>
    </row>
    <row customHeight="1" ht="33.75">
      <c r="Q38" s="377"/>
      <c r="R38" s="377"/>
      <c r="S38" s="2206"/>
      <c r="T38" s="2047"/>
      <c r="U38" s="1044"/>
      <c r="V38" s="1488" t="s">
        <v>1685</v>
      </c>
      <c r="W38" s="2195" t="s">
        <v>497</v>
      </c>
      <c r="X38" s="2196"/>
      <c r="Y38" s="2195" t="s">
        <v>498</v>
      </c>
      <c r="Z38" s="2202"/>
      <c r="AA38" s="2196"/>
      <c r="AB38" s="2211"/>
      <c r="AC38" s="1488" t="s">
        <v>1685</v>
      </c>
      <c r="AD38" s="2195" t="s">
        <v>497</v>
      </c>
      <c r="AE38" s="2196"/>
      <c r="AF38" s="2195" t="s">
        <v>498</v>
      </c>
      <c r="AG38" s="2202"/>
      <c r="AH38" s="2196"/>
      <c r="AI38" s="2211"/>
      <c r="AJ38" s="2214"/>
      <c r="AK38" s="1966"/>
    </row>
    <row customHeight="1" ht="33.75">
      <c r="A39" s="1406"/>
      <c r="B39" s="1406" t="s">
        <v>142</v>
      </c>
      <c r="C39" s="1406" t="s">
        <v>143</v>
      </c>
      <c r="D39" s="1406" t="s">
        <v>144</v>
      </c>
      <c r="E39" s="1400" t="s">
        <v>499</v>
      </c>
      <c r="F39" s="1400" t="s">
        <v>500</v>
      </c>
      <c r="G39" s="1400" t="s">
        <v>501</v>
      </c>
      <c r="H39" s="1400"/>
      <c r="I39" s="1400" t="s">
        <v>1686</v>
      </c>
      <c r="J39" s="1400" t="s">
        <v>504</v>
      </c>
      <c r="K39" s="1400" t="s">
        <v>1687</v>
      </c>
      <c r="L39" s="1400" t="s">
        <v>480</v>
      </c>
      <c r="Q39" s="377"/>
      <c r="R39" s="377"/>
      <c r="S39" s="2206"/>
      <c r="T39" s="2047"/>
      <c r="U39" s="290"/>
      <c r="V39" s="1488" t="s">
        <v>1688</v>
      </c>
      <c r="W39" s="1243" t="s">
        <v>1689</v>
      </c>
      <c r="X39" s="1243" t="s">
        <v>1690</v>
      </c>
      <c r="Y39" s="1491" t="s">
        <v>508</v>
      </c>
      <c r="Z39" s="2203" t="s">
        <v>509</v>
      </c>
      <c r="AA39" s="2204"/>
      <c r="AB39" s="2212"/>
      <c r="AC39" s="1488" t="s">
        <v>1688</v>
      </c>
      <c r="AD39" s="1243" t="s">
        <v>1689</v>
      </c>
      <c r="AE39" s="1243" t="s">
        <v>1690</v>
      </c>
      <c r="AF39" s="1491" t="s">
        <v>508</v>
      </c>
      <c r="AG39" s="2203" t="s">
        <v>509</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234</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130</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234</v>
      </c>
      <c r="B42" s="1399" t="s">
        <v>235</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462</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463</v>
      </c>
      <c r="AM42" s="508"/>
      <c r="AN42" s="508" t="str">
        <f>IF(T42="","",T42)</f>
        <v>Территория действия тарифа</v>
      </c>
      <c r="AO42" s="508"/>
      <c r="AP42" s="508"/>
    </row>
    <row customHeight="1" ht="23.25">
      <c r="A43" s="1399" t="s">
        <v>234</v>
      </c>
      <c r="B43" s="1399" t="s">
        <v>235</v>
      </c>
      <c r="C43" s="1399" t="s">
        <v>236</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1677</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1678</v>
      </c>
      <c r="AM43" s="508"/>
      <c r="AN43" s="508" t="str">
        <f>IF(T43="","",T43)</f>
        <v>Наименование централизованной системы холодного водоснабжения</v>
      </c>
      <c r="AO43" s="508"/>
      <c r="AP43" s="508"/>
    </row>
    <row customHeight="1" ht="23.25">
      <c r="A44" s="1399" t="s">
        <v>234</v>
      </c>
      <c r="B44" s="1399" t="s">
        <v>235</v>
      </c>
      <c r="C44" s="1399" t="s">
        <v>236</v>
      </c>
      <c r="D44" s="1399" t="s">
        <v>1696</v>
      </c>
      <c r="E44" s="2192"/>
      <c r="F44" s="2192"/>
      <c r="G44" s="2192"/>
      <c r="H44" s="2192"/>
      <c r="I44" s="2189" t="str">
        <f>S43&amp;".1"</f>
        <v>...1</v>
      </c>
      <c r="J44" s="1399"/>
      <c r="K44" s="1399"/>
      <c r="L44" s="1400"/>
      <c r="P44" s="2190">
        <v>1</v>
      </c>
      <c r="Q44" s="1486"/>
      <c r="R44" s="352"/>
      <c r="S44" s="1493" t="str">
        <f>$I44</f>
        <v>...1</v>
      </c>
      <c r="T44" s="273" t="s">
        <v>1679</v>
      </c>
      <c r="U44" s="288"/>
      <c r="V44" s="2322"/>
      <c r="W44" s="2323"/>
      <c r="X44" s="2323"/>
      <c r="Y44" s="2323"/>
      <c r="Z44" s="2323"/>
      <c r="AA44" s="2323"/>
      <c r="AB44" s="2324"/>
      <c r="AC44" s="2325"/>
      <c r="AD44" s="2326"/>
      <c r="AE44" s="2326"/>
      <c r="AF44" s="2326"/>
      <c r="AG44" s="2326"/>
      <c r="AH44" s="2326"/>
      <c r="AI44" s="2326"/>
      <c r="AJ44" s="2327"/>
      <c r="AK44" s="1292" t="s">
        <v>1680</v>
      </c>
      <c r="AM44" s="508"/>
      <c r="AN44" s="508" t="str">
        <f>IF(T44="","",T44)</f>
        <v>Наименование признака дифференциации</v>
      </c>
      <c r="AO44" s="508"/>
      <c r="AP44" s="508"/>
    </row>
    <row customHeight="1" ht="23.25">
      <c r="A45" s="1399" t="s">
        <v>234</v>
      </c>
      <c r="B45" s="1399" t="s">
        <v>235</v>
      </c>
      <c r="C45" s="1399" t="s">
        <v>236</v>
      </c>
      <c r="D45" s="1399" t="s">
        <v>1696</v>
      </c>
      <c r="E45" s="2192"/>
      <c r="F45" s="2192"/>
      <c r="G45" s="2192"/>
      <c r="H45" s="2192"/>
      <c r="I45" s="2219"/>
      <c r="J45" s="2189" t="str">
        <f>I44&amp;".1"</f>
        <v>...1.1</v>
      </c>
      <c r="K45" s="1399"/>
      <c r="L45" s="1400" t="s">
        <v>471</v>
      </c>
      <c r="P45" s="2190"/>
      <c r="Q45" s="2190">
        <v>1</v>
      </c>
      <c r="R45" s="353"/>
      <c r="S45" s="1493" t="str">
        <f>$J45</f>
        <v>...1.1</v>
      </c>
      <c r="T45" s="274" t="s">
        <v>472</v>
      </c>
      <c r="U45" s="288"/>
      <c r="V45" s="2178"/>
      <c r="W45" s="2179"/>
      <c r="X45" s="2179"/>
      <c r="Y45" s="2179"/>
      <c r="Z45" s="2179"/>
      <c r="AA45" s="2179"/>
      <c r="AB45" s="2180"/>
      <c r="AC45" s="2178"/>
      <c r="AD45" s="2179"/>
      <c r="AE45" s="2179"/>
      <c r="AF45" s="2179"/>
      <c r="AG45" s="2179"/>
      <c r="AH45" s="2179"/>
      <c r="AI45" s="2179"/>
      <c r="AJ45" s="2180"/>
      <c r="AK45" s="1343" t="s">
        <v>1681</v>
      </c>
      <c r="AM45" s="508"/>
      <c r="AN45" s="508" t="str">
        <f>IF(T45="","",T45)</f>
        <v>Группа потребителей</v>
      </c>
      <c r="AO45" s="508"/>
      <c r="AP45" s="508"/>
    </row>
    <row customHeight="1" ht="23.25">
      <c r="A46" s="1399" t="s">
        <v>234</v>
      </c>
      <c r="B46" s="1399" t="s">
        <v>235</v>
      </c>
      <c r="C46" s="1399" t="s">
        <v>236</v>
      </c>
      <c r="D46" s="1399" t="s">
        <v>1696</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234</v>
      </c>
      <c r="B47" s="1399" t="s">
        <v>235</v>
      </c>
      <c r="C47" s="1399" t="s">
        <v>236</v>
      </c>
      <c r="D47" s="1399" t="s">
        <v>1696</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234</v>
      </c>
      <c r="B48" s="1399" t="s">
        <v>235</v>
      </c>
      <c r="C48" s="1399" t="s">
        <v>236</v>
      </c>
      <c r="D48" s="1399" t="s">
        <v>1696</v>
      </c>
      <c r="E48" s="2192"/>
      <c r="F48" s="2192"/>
      <c r="G48" s="2192"/>
      <c r="H48" s="2192"/>
      <c r="I48" s="2219"/>
      <c r="J48" s="2189"/>
      <c r="K48" s="1399"/>
      <c r="L48" s="1400"/>
      <c r="P48" s="2190"/>
      <c r="Q48" s="2190"/>
      <c r="R48" s="352"/>
      <c r="S48" s="1314"/>
      <c r="T48" s="275" t="s">
        <v>1682</v>
      </c>
      <c r="U48" s="367"/>
      <c r="V48" s="367"/>
      <c r="W48" s="367"/>
      <c r="X48" s="367"/>
      <c r="Y48" s="367"/>
      <c r="Z48" s="367"/>
      <c r="AA48" s="367"/>
      <c r="AB48" s="367"/>
      <c r="AC48" s="367"/>
      <c r="AD48" s="367"/>
      <c r="AE48" s="367"/>
      <c r="AF48" s="367"/>
      <c r="AG48" s="367"/>
      <c r="AH48" s="367"/>
      <c r="AI48" s="367"/>
      <c r="AJ48" s="367"/>
      <c r="AK48" s="1292" t="s">
        <v>1683</v>
      </c>
      <c r="AM48" s="508"/>
      <c r="AN48" s="508" t="str">
        <f>IF(T48="","",T48)</f>
        <v>Добавить значение признака дифференциации</v>
      </c>
      <c r="AO48" s="508"/>
      <c r="AP48" s="508"/>
    </row>
    <row customHeight="1" ht="21">
      <c r="A49" s="1399" t="s">
        <v>234</v>
      </c>
      <c r="B49" s="1399" t="s">
        <v>235</v>
      </c>
      <c r="C49" s="1399" t="s">
        <v>236</v>
      </c>
      <c r="D49" s="1399" t="s">
        <v>1696</v>
      </c>
      <c r="E49" s="2192"/>
      <c r="F49" s="2192"/>
      <c r="G49" s="2192"/>
      <c r="H49" s="2192"/>
      <c r="I49" s="2189"/>
      <c r="J49" s="1399"/>
      <c r="K49" s="1399"/>
      <c r="L49" s="1400"/>
      <c r="P49" s="2190"/>
      <c r="Q49" s="1486"/>
      <c r="R49" s="352"/>
      <c r="S49" s="1314"/>
      <c r="T49" s="364" t="s">
        <v>477</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234</v>
      </c>
      <c r="B50" s="1399" t="s">
        <v>235</v>
      </c>
      <c r="C50" s="1399" t="s">
        <v>236</v>
      </c>
      <c r="D50" s="1399" t="s">
        <v>1696</v>
      </c>
      <c r="E50" s="2192"/>
      <c r="F50" s="2192"/>
      <c r="G50" s="2192"/>
      <c r="H50" s="2191"/>
      <c r="I50" s="1399"/>
      <c r="J50" s="1399"/>
      <c r="K50" s="1399"/>
      <c r="L50" s="1400"/>
      <c r="M50" s="1401"/>
      <c r="N50" s="1401"/>
      <c r="O50" s="545"/>
      <c r="P50" s="356"/>
      <c r="Q50" s="376"/>
      <c r="R50" s="351"/>
      <c r="S50" s="1314"/>
      <c r="T50" s="372" t="s">
        <v>1684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9" customFormat="1" customHeight="1" ht="0">
      <c r="A51" s="1379" t="s">
        <v>234</v>
      </c>
      <c r="B51" s="1379" t="s">
        <v>235</v>
      </c>
      <c r="C51" s="1350"/>
      <c r="D51" s="1350"/>
      <c r="E51" s="2192"/>
      <c r="F51" s="2191"/>
      <c r="G51" s="1350"/>
      <c r="H51" s="1350"/>
      <c r="I51" s="1350"/>
      <c r="J51" s="1350"/>
      <c r="K51" s="1350"/>
      <c r="L51" s="1494"/>
      <c r="M51" s="1357"/>
      <c r="N51" s="1357"/>
      <c r="P51" s="1352"/>
      <c r="Q51" s="1353"/>
      <c r="R51" s="1352"/>
      <c r="S51" s="1358"/>
      <c r="T51" s="1361" t="s">
        <v>436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234</v>
      </c>
      <c r="B52" s="1379"/>
      <c r="C52" s="1379"/>
      <c r="D52" s="1379"/>
      <c r="E52" s="2191"/>
      <c r="F52" s="1379"/>
      <c r="G52" s="1379"/>
      <c r="H52" s="1379"/>
      <c r="I52" s="1379"/>
      <c r="J52" s="1379"/>
      <c r="K52" s="1379"/>
      <c r="L52" s="1382"/>
      <c r="M52" s="1357"/>
      <c r="N52" s="1357"/>
      <c r="O52" s="526"/>
      <c r="P52" s="385"/>
      <c r="Q52" s="1380"/>
      <c r="R52" s="385"/>
      <c r="S52" s="1358"/>
      <c r="T52" s="1361" t="s">
        <v>437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9"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510</v>
      </c>
      <c r="T55" s="2218" t="s">
        <v>1692</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510</v>
      </c>
      <c r="T57" s="2218" t="s">
        <v>1693</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85EE87-5182-33BF-793D-33D0B6E503A5}"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59" width="11.57421875" hidden="1" customWidth="1"/>
    <col min="2" max="2" style="3159" width="11.00390625" hidden="1" customWidth="1"/>
    <col min="3" max="3" style="3159" width="10.57421875" hidden="1"/>
    <col min="4" max="4" style="3159" width="12.8515625" hidden="1" customWidth="1"/>
    <col min="5" max="5" style="3159" width="10.00390625" hidden="1" customWidth="1"/>
    <col min="6" max="6" style="3159" width="8.7109375" hidden="1" customWidth="1"/>
    <col min="7" max="7" style="3159" width="7.57421875" hidden="1" customWidth="1"/>
    <col min="8" max="8" style="3159" width="11.421875" hidden="1" customWidth="1"/>
    <col min="9" max="9" style="3159" width="12.00390625" hidden="1" customWidth="1"/>
    <col min="10" max="10" style="3159" width="9.8515625" hidden="1" customWidth="1"/>
    <col min="11" max="11" style="3159" width="11.421875" hidden="1" customWidth="1"/>
    <col min="12" max="12" style="4323" width="19.140625" hidden="1" customWidth="1"/>
    <col min="13" max="14" style="3619" width="12.28125" hidden="1" customWidth="1"/>
    <col min="15" max="15" style="3619" width="23.421875" hidden="1" customWidth="1"/>
    <col min="16" max="16" style="3619" width="3.7109375" hidden="1" customWidth="1"/>
    <col min="17" max="17" style="3621" width="3.7109375" hidden="1" customWidth="1"/>
    <col min="18" max="18" style="3694" width="3.7109375" customWidth="1"/>
    <col min="19" max="19" style="3695" width="12.7109375" customWidth="1"/>
    <col min="20" max="20" style="2876" width="32.00390625" customWidth="1"/>
    <col min="21" max="21" style="2876" width="0.140625" customWidth="1"/>
    <col min="22" max="25" style="2876" width="21.7109375" hidden="1" customWidth="1"/>
    <col min="26" max="26" style="2876" width="11.7109375" hidden="1" customWidth="1"/>
    <col min="27" max="27" style="2876" width="3.7109375" hidden="1" customWidth="1"/>
    <col min="28" max="28" style="2876" width="11.7109375" hidden="1" customWidth="1"/>
    <col min="29" max="29" style="2876" width="8.57421875" hidden="1" customWidth="1"/>
    <col min="30" max="32" style="2876" width="3.7109375" customWidth="1"/>
    <col min="33" max="33" style="2876" width="24.7109375" customWidth="1"/>
    <col min="34" max="36" style="2876" width="3.7109375" customWidth="1"/>
    <col min="37" max="37" style="2876" width="24.7109375" customWidth="1"/>
    <col min="38" max="40" style="2876" width="3.7109375" customWidth="1"/>
    <col min="41" max="41" style="2876" width="18.8515625" customWidth="1"/>
    <col min="42" max="44" style="2876" width="3.7109375" customWidth="1"/>
    <col min="45" max="45" style="2876" width="18.8515625" customWidth="1"/>
    <col min="46" max="49" style="2876" width="21.7109375" customWidth="1"/>
    <col min="50" max="50" style="2876" width="11.7109375" customWidth="1"/>
    <col min="51" max="51" style="2876" width="3.7109375" customWidth="1"/>
    <col min="52" max="52" style="2876" width="11.7109375" customWidth="1"/>
    <col min="53" max="53" style="2876" width="8.57421875" hidden="1" customWidth="1"/>
    <col min="54" max="54" style="2876" width="4.7109375" customWidth="1"/>
    <col min="55" max="55" style="2876"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130</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462</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463</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1677</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1678</v>
      </c>
      <c r="BE4" s="508"/>
      <c r="BF4" s="508" t="str">
        <f>IF(T4="","",T4)</f>
        <v>Наименование централизованной системы холодного водоснабжения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467</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468</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58</v>
      </c>
      <c r="AB8" s="1780"/>
      <c r="AC8" s="1495" t="s">
        <v>58</v>
      </c>
      <c r="AD8" s="2022" t="s">
        <v>58</v>
      </c>
      <c r="AE8" s="2251"/>
      <c r="AF8" s="2042">
        <v>1</v>
      </c>
      <c r="AG8" s="2335"/>
      <c r="AH8" s="1946" t="s">
        <v>58</v>
      </c>
      <c r="AI8" s="2251"/>
      <c r="AJ8" s="2042">
        <v>1</v>
      </c>
      <c r="AK8" s="2334" t="s">
        <v>18</v>
      </c>
      <c r="AL8" s="1946" t="s">
        <v>58</v>
      </c>
      <c r="AM8" s="2029"/>
      <c r="AN8" s="2042">
        <v>1</v>
      </c>
      <c r="AO8" s="2328"/>
      <c r="AP8" s="2329" t="s">
        <v>58</v>
      </c>
      <c r="AQ8" s="301"/>
      <c r="AR8" s="1499">
        <v>1</v>
      </c>
      <c r="AS8" s="1502" t="s">
        <v>18</v>
      </c>
      <c r="AT8" s="760"/>
      <c r="AU8" s="1291"/>
      <c r="AV8" s="760"/>
      <c r="AW8" s="1291"/>
      <c r="AX8" s="1780"/>
      <c r="AY8" s="1495" t="s">
        <v>58</v>
      </c>
      <c r="AZ8" s="1780"/>
      <c r="BA8" s="1495" t="s">
        <v>58</v>
      </c>
      <c r="BB8" s="1384"/>
      <c r="BC8" s="2186" t="s">
        <v>1697</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1698</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1699</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1700</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1701</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542</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599"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599"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436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437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496" t="s">
        <v>58</v>
      </c>
      <c r="AZ20" s="1782"/>
      <c r="BA20" s="1496" t="s">
        <v>58</v>
      </c>
    </row>
    <row customHeight="1" ht="14.25" hidden="1">
      <c r="BD21" s="504"/>
      <c r="BE21" s="504"/>
      <c r="BF21" s="504"/>
      <c r="BG21" s="504"/>
      <c r="BH21" s="504"/>
    </row>
    <row customHeight="1" ht="14.25" hidden="1">
      <c r="O22" s="1403" t="s">
        <v>479</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7" customFormat="1" customHeight="1" ht="14.25" hidden="1">
      <c r="M24" s="1544"/>
      <c r="N24" s="1544"/>
      <c r="O24" s="1545" t="s">
        <v>480</v>
      </c>
      <c r="P24" s="1544"/>
      <c r="Q24" s="1546"/>
      <c r="R24" s="1546"/>
      <c r="AA24" s="1543" t="s">
        <v>482</v>
      </c>
      <c r="AC24" s="1543" t="s">
        <v>483</v>
      </c>
      <c r="AD24" s="1543" t="s">
        <v>543</v>
      </c>
      <c r="AH24" s="1543" t="s">
        <v>543</v>
      </c>
      <c r="AK24" s="1543" t="s">
        <v>1702</v>
      </c>
      <c r="AL24" s="1543" t="s">
        <v>543</v>
      </c>
      <c r="AP24" s="1543" t="s">
        <v>543</v>
      </c>
      <c r="AY24" s="1543" t="s">
        <v>482</v>
      </c>
      <c r="BA24" s="1543" t="s">
        <v>483</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"Уссурийск-Водоканал"</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28"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28"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485</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28"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486</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28"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40</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28"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485</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28"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486</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28"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489</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489</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293</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294</v>
      </c>
    </row>
    <row customHeight="1" ht="14.25">
      <c r="Q41" s="279"/>
      <c r="R41" s="377"/>
      <c r="S41" s="2206" t="s">
        <v>88</v>
      </c>
      <c r="T41" s="2047" t="s">
        <v>1703</v>
      </c>
      <c r="U41" s="289"/>
      <c r="V41" s="2207" t="s">
        <v>491</v>
      </c>
      <c r="W41" s="2208"/>
      <c r="X41" s="2208"/>
      <c r="Y41" s="2208"/>
      <c r="Z41" s="2208"/>
      <c r="AA41" s="2208"/>
      <c r="AB41" s="2209"/>
      <c r="AC41" s="2210" t="s">
        <v>492</v>
      </c>
      <c r="AD41" s="2253" t="s">
        <v>1704</v>
      </c>
      <c r="AE41" s="2222"/>
      <c r="AF41" s="2222"/>
      <c r="AG41" s="2254"/>
      <c r="AH41" s="2253" t="s">
        <v>1705</v>
      </c>
      <c r="AI41" s="2222"/>
      <c r="AJ41" s="2222"/>
      <c r="AK41" s="2254"/>
      <c r="AL41" s="2253" t="s">
        <v>1706</v>
      </c>
      <c r="AM41" s="2222"/>
      <c r="AN41" s="2222"/>
      <c r="AO41" s="2254"/>
      <c r="AP41" s="2253" t="s">
        <v>1707</v>
      </c>
      <c r="AQ41" s="2222"/>
      <c r="AR41" s="2222"/>
      <c r="AS41" s="2254"/>
      <c r="AT41" s="2207" t="s">
        <v>491</v>
      </c>
      <c r="AU41" s="2208"/>
      <c r="AV41" s="2208"/>
      <c r="AW41" s="2208"/>
      <c r="AX41" s="2208"/>
      <c r="AY41" s="2208"/>
      <c r="AZ41" s="2209"/>
      <c r="BA41" s="2210" t="s">
        <v>492</v>
      </c>
      <c r="BB41" s="2213" t="s">
        <v>494</v>
      </c>
      <c r="BC41" s="1966"/>
    </row>
    <row customHeight="1" ht="33.75">
      <c r="Q42" s="279"/>
      <c r="R42" s="377"/>
      <c r="S42" s="2206"/>
      <c r="T42" s="2047"/>
      <c r="U42" s="1044"/>
      <c r="V42" s="2029" t="s">
        <v>1708</v>
      </c>
      <c r="W42" s="2030"/>
      <c r="X42" s="2029" t="s">
        <v>1709</v>
      </c>
      <c r="Y42" s="2030"/>
      <c r="Z42" s="2225" t="s">
        <v>1710</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1708</v>
      </c>
      <c r="AU42" s="2030"/>
      <c r="AV42" s="2029" t="s">
        <v>1709</v>
      </c>
      <c r="AW42" s="2030"/>
      <c r="AX42" s="2225" t="s">
        <v>1710</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142</v>
      </c>
      <c r="C44" s="1406" t="s">
        <v>143</v>
      </c>
      <c r="D44" s="1406" t="s">
        <v>144</v>
      </c>
      <c r="E44" s="1400" t="s">
        <v>499</v>
      </c>
      <c r="F44" s="1400" t="s">
        <v>500</v>
      </c>
      <c r="G44" s="1400" t="s">
        <v>501</v>
      </c>
      <c r="H44" s="1400" t="s">
        <v>502</v>
      </c>
      <c r="I44" s="1400" t="s">
        <v>503</v>
      </c>
      <c r="J44" s="1400" t="s">
        <v>504</v>
      </c>
      <c r="K44" s="1400" t="s">
        <v>505</v>
      </c>
      <c r="L44" s="1400" t="s">
        <v>480</v>
      </c>
      <c r="Q44" s="279"/>
      <c r="R44" s="377"/>
      <c r="S44" s="2206"/>
      <c r="T44" s="2047"/>
      <c r="U44" s="290"/>
      <c r="V44" s="1484" t="s">
        <v>553</v>
      </c>
      <c r="W44" s="1484" t="s">
        <v>554</v>
      </c>
      <c r="X44" s="1484" t="s">
        <v>553</v>
      </c>
      <c r="Y44" s="1484" t="s">
        <v>554</v>
      </c>
      <c r="Z44" s="1491" t="s">
        <v>508</v>
      </c>
      <c r="AA44" s="2203" t="s">
        <v>509</v>
      </c>
      <c r="AB44" s="2204"/>
      <c r="AC44" s="2212"/>
      <c r="AD44" s="2258"/>
      <c r="AE44" s="2259"/>
      <c r="AF44" s="2259"/>
      <c r="AG44" s="2260"/>
      <c r="AH44" s="2258"/>
      <c r="AI44" s="2259"/>
      <c r="AJ44" s="2259"/>
      <c r="AK44" s="2260"/>
      <c r="AL44" s="2258"/>
      <c r="AM44" s="2259"/>
      <c r="AN44" s="2259"/>
      <c r="AO44" s="2260"/>
      <c r="AP44" s="2258"/>
      <c r="AQ44" s="2259"/>
      <c r="AR44" s="2259"/>
      <c r="AS44" s="2260"/>
      <c r="AT44" s="1484" t="s">
        <v>553</v>
      </c>
      <c r="AU44" s="1484" t="s">
        <v>554</v>
      </c>
      <c r="AV44" s="1484" t="s">
        <v>553</v>
      </c>
      <c r="AW44" s="1484" t="s">
        <v>554</v>
      </c>
      <c r="AX44" s="1491" t="s">
        <v>508</v>
      </c>
      <c r="AY44" s="2203" t="s">
        <v>509</v>
      </c>
      <c r="AZ44" s="2204"/>
      <c r="BA44" s="2212"/>
      <c r="BB44" s="2215"/>
      <c r="BC44" s="1966"/>
    </row>
    <row s="2586"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239</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130</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239</v>
      </c>
      <c r="B47" s="1399" t="s">
        <v>240</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v>
      </c>
      <c r="T47" s="298" t="s">
        <v>462</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463</v>
      </c>
      <c r="BE47" s="508"/>
      <c r="BF47" s="508" t="str">
        <f>IF(T47="","",T47)</f>
        <v>Территория действия тарифа</v>
      </c>
      <c r="BG47" s="508"/>
      <c r="BH47" s="508"/>
    </row>
    <row customHeight="1" ht="42">
      <c r="A48" s="1399" t="s">
        <v>239</v>
      </c>
      <c r="B48" s="1399" t="s">
        <v>240</v>
      </c>
      <c r="C48" s="1399" t="s">
        <v>241</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v>
      </c>
      <c r="T48" s="299" t="s">
        <v>1677</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1678</v>
      </c>
      <c r="BE48" s="508"/>
      <c r="BF48" s="508" t="str">
        <f>IF(T48="","",T48)</f>
        <v>Наименование централизованной системы холодного водоснабжения</v>
      </c>
      <c r="BG48" s="508"/>
      <c r="BH48" s="508"/>
    </row>
    <row s="2587" customFormat="1" customHeight="1" ht="0">
      <c r="A49" s="1379" t="s">
        <v>239</v>
      </c>
      <c r="B49" s="1379" t="s">
        <v>240</v>
      </c>
      <c r="C49" s="1379" t="s">
        <v>241</v>
      </c>
      <c r="D49" s="1379" t="s">
        <v>1711</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467</v>
      </c>
      <c r="BE49" s="508"/>
      <c r="BF49" s="508" t="str">
        <f>IF(T49="","",T49)</f>
        <v/>
      </c>
      <c r="BG49" s="508"/>
      <c r="BH49" s="508"/>
    </row>
    <row s="2587" customFormat="1" customHeight="1" ht="0">
      <c r="A50" s="1379" t="s">
        <v>239</v>
      </c>
      <c r="B50" s="1379" t="s">
        <v>240</v>
      </c>
      <c r="C50" s="1379" t="s">
        <v>241</v>
      </c>
      <c r="D50" s="1379" t="s">
        <v>1711</v>
      </c>
      <c r="E50" s="2192"/>
      <c r="F50" s="2192"/>
      <c r="G50" s="2192"/>
      <c r="H50" s="2192"/>
      <c r="I50" s="2189" t="str">
        <f>S49&amp;".1"</f>
        <v>.1</v>
      </c>
      <c r="J50" s="1379"/>
      <c r="K50" s="1379"/>
      <c r="L50" s="1382" t="s">
        <v>468</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239</v>
      </c>
      <c r="B51" s="1379" t="s">
        <v>240</v>
      </c>
      <c r="C51" s="1379" t="s">
        <v>241</v>
      </c>
      <c r="D51" s="1379" t="s">
        <v>1711</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239</v>
      </c>
      <c r="B52" s="1399" t="s">
        <v>240</v>
      </c>
      <c r="C52" s="1399" t="s">
        <v>241</v>
      </c>
      <c r="D52" s="1399" t="s">
        <v>1711</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495" t="s">
        <v>58</v>
      </c>
      <c r="AB52" s="1780"/>
      <c r="AC52" s="1495" t="s">
        <v>58</v>
      </c>
      <c r="AD52" s="2022" t="s">
        <v>58</v>
      </c>
      <c r="AE52" s="2251"/>
      <c r="AF52" s="2042">
        <v>1</v>
      </c>
      <c r="AG52" s="2335"/>
      <c r="AH52" s="1946" t="s">
        <v>58</v>
      </c>
      <c r="AI52" s="2251"/>
      <c r="AJ52" s="2042">
        <v>1</v>
      </c>
      <c r="AK52" s="2334" t="s">
        <v>18</v>
      </c>
      <c r="AL52" s="1946" t="s">
        <v>58</v>
      </c>
      <c r="AM52" s="2029"/>
      <c r="AN52" s="2042">
        <v>1</v>
      </c>
      <c r="AO52" s="2328"/>
      <c r="AP52" s="2329" t="s">
        <v>58</v>
      </c>
      <c r="AQ52" s="301"/>
      <c r="AR52" s="1499">
        <v>1</v>
      </c>
      <c r="AS52" s="1502" t="s">
        <v>18</v>
      </c>
      <c r="AT52" s="760"/>
      <c r="AU52" s="1291"/>
      <c r="AV52" s="760"/>
      <c r="AW52" s="1291"/>
      <c r="AX52" s="1780"/>
      <c r="AY52" s="1495" t="s">
        <v>58</v>
      </c>
      <c r="AZ52" s="1780"/>
      <c r="BA52" s="1495" t="s">
        <v>58</v>
      </c>
      <c r="BB52" s="1384"/>
      <c r="BC52" s="2186" t="s">
        <v>1697</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1698</v>
      </c>
      <c r="AT53" s="1429"/>
      <c r="AU53" s="1532"/>
      <c r="AV53" s="1429"/>
      <c r="AW53" s="1532"/>
      <c r="AX53" s="1429"/>
      <c r="AY53" s="1429"/>
      <c r="AZ53" s="1429"/>
      <c r="BA53" s="1429"/>
      <c r="BB53" s="1433"/>
      <c r="BC53" s="2187"/>
      <c r="BE53" s="508"/>
      <c r="BF53" s="508"/>
      <c r="BG53" s="508"/>
      <c r="BH53" s="508"/>
    </row>
    <row customHeight="1" ht="11.25">
      <c r="A54" s="1399" t="s">
        <v>239</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1699</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239</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1700</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239</v>
      </c>
      <c r="B56" s="1399" t="s">
        <v>240</v>
      </c>
      <c r="C56" s="1399" t="s">
        <v>241</v>
      </c>
      <c r="D56" s="1399" t="s">
        <v>1711</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1701</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239</v>
      </c>
      <c r="B57" s="1399" t="s">
        <v>240</v>
      </c>
      <c r="C57" s="1399" t="s">
        <v>241</v>
      </c>
      <c r="D57" s="1399" t="s">
        <v>1711</v>
      </c>
      <c r="E57" s="2192"/>
      <c r="F57" s="2192"/>
      <c r="G57" s="2192"/>
      <c r="H57" s="2192"/>
      <c r="I57" s="2219"/>
      <c r="J57" s="2189"/>
      <c r="K57" s="1399"/>
      <c r="L57" s="1400"/>
      <c r="P57" s="2190"/>
      <c r="Q57" s="2190"/>
      <c r="R57" s="352"/>
      <c r="S57" s="1314"/>
      <c r="T57" s="275" t="s">
        <v>542</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239</v>
      </c>
      <c r="B58" s="1379" t="s">
        <v>240</v>
      </c>
      <c r="C58" s="1379" t="s">
        <v>241</v>
      </c>
      <c r="D58" s="1379" t="s">
        <v>1711</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239</v>
      </c>
      <c r="B59" s="1379" t="s">
        <v>240</v>
      </c>
      <c r="C59" s="1379" t="s">
        <v>241</v>
      </c>
      <c r="D59" s="1379" t="s">
        <v>1711</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599" customFormat="1" customHeight="1" ht="0">
      <c r="A60" s="1379" t="s">
        <v>239</v>
      </c>
      <c r="B60" s="1379" t="s">
        <v>240</v>
      </c>
      <c r="C60" s="1379" t="s">
        <v>241</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599" customFormat="1" customHeight="1" ht="0">
      <c r="A61" s="1379" t="s">
        <v>239</v>
      </c>
      <c r="B61" s="1379" t="s">
        <v>240</v>
      </c>
      <c r="C61" s="1350"/>
      <c r="D61" s="1350"/>
      <c r="E61" s="2192"/>
      <c r="F61" s="2191"/>
      <c r="G61" s="1350"/>
      <c r="H61" s="1350"/>
      <c r="I61" s="1350"/>
      <c r="J61" s="1350"/>
      <c r="K61" s="1350"/>
      <c r="L61" s="1500"/>
      <c r="M61" s="1357"/>
      <c r="N61" s="1357"/>
      <c r="P61" s="1352"/>
      <c r="Q61" s="1353"/>
      <c r="R61" s="1352"/>
      <c r="S61" s="1358"/>
      <c r="T61" s="1361" t="s">
        <v>436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239</v>
      </c>
      <c r="B62" s="1379"/>
      <c r="C62" s="1379"/>
      <c r="D62" s="1379"/>
      <c r="E62" s="2191"/>
      <c r="F62" s="1379"/>
      <c r="G62" s="1379"/>
      <c r="H62" s="1379"/>
      <c r="I62" s="1379"/>
      <c r="J62" s="1379"/>
      <c r="K62" s="1379"/>
      <c r="L62" s="1382"/>
      <c r="M62" s="1357"/>
      <c r="N62" s="1357"/>
      <c r="O62" s="526"/>
      <c r="P62" s="385"/>
      <c r="Q62" s="1380"/>
      <c r="R62" s="385"/>
      <c r="S62" s="1358"/>
      <c r="T62" s="1361" t="s">
        <v>437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599"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438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8.75" hidden="1">
      <c r="O65" s="545"/>
      <c r="S65" s="1279" t="s">
        <v>510</v>
      </c>
      <c r="T65" s="2218" t="s">
        <v>1712</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510</v>
      </c>
      <c r="T67" s="2218" t="s">
        <v>1713</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F41FB5-5539-AA0A-9D4E-C6518E3029E9}" mc:Ignorable="x14ac xr xr2 xr3">
  <sheetPr>
    <tabColor theme="9" tint="-0.25"/>
  </sheetPr>
  <dimension ref="A1:AG306"/>
  <sheetViews>
    <sheetView topLeftCell="D20" showGridLines="0" zoomScale="90" workbookViewId="0" tabSelected="1">
      <selection activeCell="K85" sqref="K85"/>
    </sheetView>
  </sheetViews>
  <sheetFormatPr defaultColWidth="9.140625" customHeight="1" defaultRowHeight="11.25"/>
  <cols>
    <col min="1" max="1" style="4339" width="10.7109375" hidden="1" customWidth="1"/>
    <col min="2" max="2" style="3159" width="16.8515625" hidden="1" customWidth="1"/>
    <col min="3" max="3" style="3165" width="5.57421875" hidden="1" customWidth="1"/>
    <col min="4" max="4" style="4464" width="3.7109375" customWidth="1"/>
    <col min="5" max="5" style="2885" width="7.7109375" customWidth="1"/>
    <col min="6" max="6" style="2885" width="54.57421875" customWidth="1"/>
    <col min="7" max="7" style="2885" width="10.421875" customWidth="1"/>
    <col min="8" max="8" style="2885" width="40.7109375" hidden="1" customWidth="1"/>
    <col min="9" max="9" style="2885" width="40.7109375" customWidth="1"/>
    <col min="10" max="11" style="4122" width="40.7109375" customWidth="1"/>
    <col min="12" max="12" style="4122" width="40.7109375" hidden="1" customWidth="1"/>
    <col min="13" max="13" style="3159" width="9.7109375" customWidth="1"/>
    <col min="14" max="14" style="3165" width="5.28125" customWidth="1"/>
    <col min="15" max="15" style="3165" width="3.7109375" customWidth="1"/>
    <col min="16" max="19" style="3159" width="3.7109375" customWidth="1"/>
    <col min="20" max="20" style="3165" width="10.57421875" customWidth="1"/>
    <col min="21" max="21" style="3159" width="34.7109375" customWidth="1"/>
    <col min="22" max="22" style="3159" width="9.421875" customWidth="1"/>
    <col min="23" max="23" style="4342" width="9.140625"/>
    <col min="24" max="28" style="3159" width="9.140625"/>
    <col min="29" max="33" style="2884" width="9.140625"/>
  </cols>
  <sheetData>
    <row customHeight="1" ht="11.25" hidden="1">
      <c r="J1" s="4122"/>
      <c r="K1" s="4122"/>
      <c r="L1" s="4122"/>
    </row>
    <row customHeight="1" ht="23.25" hidden="1">
      <c r="B2" s="1938"/>
      <c r="C2" s="1181" t="s">
        <v>1714</v>
      </c>
      <c r="D2" s="1684"/>
      <c r="E2" s="554">
        <f>B2</f>
        <v>0</v>
      </c>
      <c r="F2" s="555"/>
      <c r="G2" s="1692" t="s">
        <v>430</v>
      </c>
      <c r="H2" s="1692" t="s">
        <v>430</v>
      </c>
      <c r="I2" s="1692" t="s">
        <v>430</v>
      </c>
      <c r="J2" s="4142" t="s">
        <v>430</v>
      </c>
      <c r="K2" s="4142" t="s">
        <v>430</v>
      </c>
      <c r="L2" s="4142" t="s">
        <v>430</v>
      </c>
      <c r="M2" s="551"/>
    </row>
    <row s="3165" customFormat="1" customHeight="1" ht="0.75" hidden="1">
      <c r="B3" s="1938"/>
      <c r="C3" s="1181"/>
      <c r="D3" s="556"/>
      <c r="E3" s="557"/>
      <c r="F3" s="558" t="s">
        <v>1715</v>
      </c>
      <c r="G3" s="559"/>
      <c r="H3" s="559">
        <f>H4*H5+H7</f>
        <v>0</v>
      </c>
      <c r="I3" s="559">
        <f>I4*I5+I6</f>
        <v>0</v>
      </c>
      <c r="J3" s="4332">
        <f>J4*J5+J7</f>
        <v>0</v>
      </c>
      <c r="K3" s="4332">
        <f>K4*K5+K7</f>
        <v>0</v>
      </c>
      <c r="L3" s="4332">
        <f>L4*L5+L7</f>
        <v>0</v>
      </c>
    </row>
    <row customHeight="1" ht="23.25" hidden="1">
      <c r="B4" s="1938"/>
      <c r="C4" s="1181"/>
      <c r="D4" s="1684"/>
      <c r="E4" s="554" t="str">
        <f>B2&amp;".1"</f>
        <v>.1</v>
      </c>
      <c r="F4" s="561" t="s">
        <v>1716</v>
      </c>
      <c r="G4" s="562"/>
      <c r="H4" s="549"/>
      <c r="I4" s="549"/>
      <c r="J4" s="4336"/>
      <c r="K4" s="4336"/>
      <c r="L4" s="4336"/>
      <c r="M4" s="551"/>
    </row>
    <row customHeight="1" ht="18.75" hidden="1">
      <c r="B5" s="1938"/>
      <c r="C5" s="1181"/>
      <c r="D5" s="1684"/>
      <c r="E5" s="554" t="str">
        <f>B2&amp;".2"</f>
        <v>.2</v>
      </c>
      <c r="F5" s="561" t="s">
        <v>1717</v>
      </c>
      <c r="G5" s="1692" t="s">
        <v>1718</v>
      </c>
      <c r="H5" s="549"/>
      <c r="I5" s="549"/>
      <c r="J5" s="4336"/>
      <c r="K5" s="4336"/>
      <c r="L5" s="4336"/>
      <c r="M5" s="551"/>
    </row>
    <row customHeight="1" ht="18.75" hidden="1">
      <c r="B6" s="1938"/>
      <c r="C6" s="1181"/>
      <c r="D6" s="1684"/>
      <c r="E6" s="554" t="str">
        <f>B2&amp;".3"</f>
        <v>.3</v>
      </c>
      <c r="F6" s="561" t="s">
        <v>1719</v>
      </c>
      <c r="G6" s="1692" t="s">
        <v>1718</v>
      </c>
      <c r="H6" s="549"/>
      <c r="I6" s="549"/>
      <c r="J6" s="4336"/>
      <c r="K6" s="4336"/>
      <c r="L6" s="4336"/>
      <c r="M6" s="551"/>
    </row>
    <row customHeight="1" ht="18.75" hidden="1">
      <c r="B7" s="1938"/>
      <c r="C7" s="1181"/>
      <c r="D7" s="1684"/>
      <c r="E7" s="554" t="str">
        <f>B2&amp;".4"</f>
        <v>.4</v>
      </c>
      <c r="F7" s="561" t="s">
        <v>1720</v>
      </c>
      <c r="G7" s="1692" t="s">
        <v>430</v>
      </c>
      <c r="H7" s="563"/>
      <c r="I7" s="563"/>
      <c r="J7" s="4338"/>
      <c r="K7" s="4338"/>
      <c r="L7" s="4338"/>
      <c r="M7" s="551"/>
    </row>
    <row s="3159" customFormat="1" customHeight="1" ht="11.25" hidden="1">
      <c r="A8" s="1000"/>
      <c r="C8" s="1682"/>
      <c r="D8" s="545"/>
      <c r="H8" s="1174">
        <v>4</v>
      </c>
      <c r="I8" s="1174">
        <v>4</v>
      </c>
      <c r="J8" s="4116">
        <v>4</v>
      </c>
      <c r="K8" s="4116">
        <v>4</v>
      </c>
      <c r="L8" s="4116">
        <v>4</v>
      </c>
      <c r="N8" s="1682"/>
      <c r="O8" s="1682"/>
      <c r="T8" s="1682"/>
    </row>
    <row s="3159" customFormat="1" customHeight="1" ht="22.5" hidden="1">
      <c r="A9" s="1000"/>
      <c r="C9" s="1682"/>
      <c r="D9" s="546"/>
      <c r="E9" s="1694"/>
      <c r="F9" s="548"/>
      <c r="G9" s="1692" t="s">
        <v>1718</v>
      </c>
      <c r="H9" s="549"/>
      <c r="I9" s="549"/>
      <c r="J9" s="4336"/>
      <c r="K9" s="4336"/>
      <c r="L9" s="4336"/>
      <c r="M9" s="551"/>
      <c r="N9" s="1682"/>
      <c r="O9" s="1682"/>
      <c r="T9" s="1682"/>
      <c r="W9" s="552"/>
      <c r="AC9" s="1678"/>
      <c r="AD9" s="1678"/>
      <c r="AE9" s="1678"/>
      <c r="AF9" s="1678"/>
      <c r="AG9" s="1678"/>
    </row>
    <row customHeight="1" ht="11.25" hidden="1">
      <c r="J10" s="4122"/>
      <c r="K10" s="4122"/>
      <c r="L10" s="4122"/>
    </row>
    <row customHeight="1" ht="18.75" hidden="1">
      <c r="D11" s="1684"/>
      <c r="E11" s="554"/>
      <c r="F11" s="548"/>
      <c r="G11" s="1692" t="s">
        <v>633</v>
      </c>
      <c r="H11" s="549"/>
      <c r="I11" s="549"/>
      <c r="J11" s="4336"/>
      <c r="K11" s="4336"/>
      <c r="L11" s="4336"/>
      <c r="M11" s="551"/>
    </row>
    <row customHeight="1" ht="11.25" hidden="1">
      <c r="J12" s="4122"/>
      <c r="K12" s="4122"/>
      <c r="L12" s="4122"/>
    </row>
    <row customHeight="1" ht="22.5" hidden="1">
      <c r="D13" s="1684"/>
      <c r="E13" s="554"/>
      <c r="F13" s="548"/>
      <c r="G13" s="982" t="s">
        <v>1634</v>
      </c>
      <c r="H13" s="553"/>
      <c r="I13" s="553"/>
      <c r="J13" s="4345"/>
      <c r="K13" s="4345"/>
      <c r="L13" s="4345"/>
      <c r="M13" s="551"/>
    </row>
    <row customHeight="1" ht="11.25" hidden="1">
      <c r="J14" s="4122"/>
      <c r="K14" s="4122"/>
      <c r="L14" s="4122"/>
    </row>
    <row customHeight="1" ht="22.5" hidden="1">
      <c r="D15" s="1684"/>
      <c r="E15" s="554"/>
      <c r="F15" s="548"/>
      <c r="G15" s="1692" t="s">
        <v>1721</v>
      </c>
      <c r="H15" s="553"/>
      <c r="I15" s="553"/>
      <c r="J15" s="4345"/>
      <c r="K15" s="4345"/>
      <c r="L15" s="4345"/>
      <c r="M15" s="551"/>
    </row>
    <row customHeight="1" ht="11.25" hidden="1">
      <c r="J16" s="4122"/>
      <c r="K16" s="4122"/>
      <c r="L16" s="4122"/>
    </row>
    <row customHeight="1" ht="22.5" hidden="1">
      <c r="D17" s="1684"/>
      <c r="E17" s="554"/>
      <c r="F17" s="548"/>
      <c r="G17" s="1692" t="s">
        <v>1722</v>
      </c>
      <c r="H17" s="553"/>
      <c r="I17" s="553"/>
      <c r="J17" s="4345"/>
      <c r="K17" s="4345"/>
      <c r="L17" s="4345"/>
      <c r="M17" s="551"/>
    </row>
    <row customHeight="1" ht="11.25" hidden="1">
      <c r="J18" s="4122"/>
      <c r="K18" s="4122"/>
      <c r="L18" s="4122"/>
    </row>
    <row s="2884" customFormat="1" customHeight="1" ht="11.25" hidden="1">
      <c r="A19" s="1000"/>
      <c r="B19" s="1174"/>
      <c r="C19" s="1682"/>
      <c r="D19" s="360"/>
      <c r="J19" s="4346"/>
      <c r="K19" s="4346"/>
      <c r="L19" s="4346"/>
      <c r="M19" s="1174"/>
      <c r="N19" s="1682"/>
      <c r="O19" s="1682"/>
      <c r="P19" s="1174"/>
      <c r="Q19" s="1174"/>
      <c r="R19" s="1174"/>
      <c r="S19" s="1174"/>
      <c r="T19" s="1682"/>
      <c r="U19" s="1174"/>
      <c r="V19" s="1174"/>
      <c r="W19" s="552"/>
      <c r="X19" s="1174"/>
      <c r="Y19" s="1174"/>
      <c r="Z19" s="1174"/>
      <c r="AA19" s="1174"/>
      <c r="AB19" s="1174"/>
    </row>
    <row customHeight="1" ht="11.25">
      <c r="J20" s="4122"/>
      <c r="K20" s="4122"/>
      <c r="L20" s="4122"/>
    </row>
    <row customHeight="1" ht="24">
      <c r="E21" s="216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21" s="2169"/>
      <c r="G21" s="2169"/>
      <c r="H21" s="2169"/>
      <c r="I21" s="2170"/>
      <c r="J21" s="4123"/>
      <c r="K21" s="4123"/>
      <c r="L21" s="4123"/>
    </row>
    <row customHeight="1" ht="24">
      <c r="E22" s="2171" t="str">
        <f>IF(org=0,"Не определено",org)</f>
        <v>МУП "Уссурийск-Водоканал"</v>
      </c>
      <c r="F22" s="2172"/>
      <c r="G22" s="2172"/>
      <c r="H22" s="2172"/>
      <c r="I22" s="2173"/>
      <c r="J22" s="4124"/>
      <c r="K22" s="4124"/>
      <c r="L22" s="4124"/>
    </row>
    <row customHeight="1" ht="11.25">
      <c r="E23" s="1149"/>
      <c r="F23" s="1149"/>
      <c r="G23" s="1149"/>
      <c r="H23" s="1149"/>
      <c r="I23" s="1149"/>
      <c r="J23" s="4348"/>
      <c r="K23" s="4348"/>
      <c r="L23" s="4348"/>
    </row>
    <row s="3165" customFormat="1" customHeight="1" ht="0.75">
      <c r="A24" s="1181"/>
      <c r="D24" s="1688"/>
      <c r="H24" s="900"/>
      <c r="I24" s="900" t="s">
        <v>118</v>
      </c>
      <c r="J24" s="4351" t="s">
        <v>123</v>
      </c>
      <c r="K24" s="4351" t="s">
        <v>126</v>
      </c>
      <c r="L24" s="4351"/>
    </row>
    <row customHeight="1" ht="11.25">
      <c r="E25" s="719"/>
      <c r="F25" s="2308" t="s">
        <v>105</v>
      </c>
      <c r="G25" s="2309"/>
      <c r="H25" s="1698" t="str">
        <f>IF(H24="","",INDEX(DIFFERENTIATION_UNMERGE_VD,MATCH(H24,DIFFERENTIATION_ID_DIFF,0)))</f>
        <v/>
      </c>
      <c r="I25" s="1698" t="str">
        <f>IF(I24="","",INDEX(DIFFERENTIATION_UNMERGE_VD,MATCH(I24,DIFFERENTIATION_ID_DIFF,0)))</f>
        <v>Водоотведение</v>
      </c>
      <c r="J25" s="4353" t="str">
        <f>IF(J24="","",INDEX(DIFFERENTIATION_UNMERGE_VD,MATCH(J24,DIFFERENTIATION_ID_DIFF,0)))</f>
        <v>Водоотведение</v>
      </c>
      <c r="K25" s="4353" t="str">
        <f>IF(K24="","",INDEX(DIFFERENTIATION_UNMERGE_VD,MATCH(K24,DIFFERENTIATION_ID_DIFF,0)))</f>
        <v>Подключение (технологическое присоединение) к централизованной системе водоотведения</v>
      </c>
      <c r="L25" s="4353" t="str">
        <f>IF(L24="","",INDEX(DIFFERENTIATION_UNMERGE_VD,MATCH(L24,DIFFERENTIATION_ID_DIFF,0)))</f>
        <v/>
      </c>
    </row>
    <row customHeight="1" ht="11.25">
      <c r="E26" s="719"/>
      <c r="F26" s="2308" t="s">
        <v>418</v>
      </c>
      <c r="G26" s="2309"/>
      <c r="H26" s="1698" t="str">
        <f>IF(H24="","",INDEX(DIFFERENTIATION_UNMERGE_AREA,MATCH(H24,DIFFERENTIATION_ID_DIFF,0)))</f>
        <v/>
      </c>
      <c r="I26" s="1698" t="str">
        <f>IF(I24="","",INDEX(DIFFERENTIATION_UNMERGE_AREA,MATCH(I24,DIFFERENTIATION_ID_DIFF,0)))</f>
        <v>без дифференциации</v>
      </c>
      <c r="J26" s="4353" t="str">
        <f>IF(J24="","",INDEX(DIFFERENTIATION_UNMERGE_AREA,MATCH(J24,DIFFERENTIATION_ID_DIFF,0)))</f>
        <v>без дифференциации</v>
      </c>
      <c r="K26" s="4353" t="str">
        <f>IF(K24="","",INDEX(DIFFERENTIATION_UNMERGE_AREA,MATCH(K24,DIFFERENTIATION_ID_DIFF,0)))</f>
        <v>без дифференциации</v>
      </c>
      <c r="L26" s="4353" t="str">
        <f>IF(L24="","",INDEX(DIFFERENTIATION_UNMERGE_AREA,MATCH(L24,DIFFERENTIATION_ID_DIFF,0)))</f>
        <v/>
      </c>
    </row>
    <row customHeight="1" ht="11.25">
      <c r="E27" s="719"/>
      <c r="F27" s="2308" t="s">
        <v>419</v>
      </c>
      <c r="G27" s="2309"/>
      <c r="H27" s="1698" t="str">
        <f>IF(H24="","",INDEX(DIFFERENTIATION_UNMERGE_SYSTEM,MATCH(H24,DIFFERENTIATION_ID_DIFF,0)))</f>
        <v/>
      </c>
      <c r="I27" s="1698" t="str">
        <f>IF(I24="","",INDEX(DIFFERENTIATION_UNMERGE_SYSTEM,MATCH(I24,DIFFERENTIATION_ID_DIFF,0)))</f>
        <v>Уссурийский  городской  округ</v>
      </c>
      <c r="J27" s="4353" t="str">
        <f>IF(J24="","",INDEX(DIFFERENTIATION_UNMERGE_SYSTEM,MATCH(J24,DIFFERENTIATION_ID_DIFF,0)))</f>
        <v>ООО " Промышленный  парк  Уссурийский " и  ООО                   "АльянсГрупп"</v>
      </c>
      <c r="K27" s="4353" t="str">
        <f>IF(K24="","",INDEX(DIFFERENTIATION_UNMERGE_SYSTEM,MATCH(K24,DIFFERENTIATION_ID_DIFF,0)))</f>
        <v>без дифференциации</v>
      </c>
      <c r="L27" s="4353" t="str">
        <f>IF(L24="","",INDEX(DIFFERENTIATION_UNMERGE_SYSTEM,MATCH(L24,DIFFERENTIATION_ID_DIFF,0)))</f>
        <v/>
      </c>
    </row>
    <row customHeight="1" ht="11.25">
      <c r="E28" s="2310" t="s">
        <v>293</v>
      </c>
      <c r="F28" s="2311"/>
      <c r="G28" s="2311"/>
      <c r="H28" s="1691"/>
      <c r="I28" s="1691"/>
      <c r="J28" s="4137"/>
      <c r="K28" s="4137"/>
      <c r="L28" s="4137"/>
    </row>
    <row customHeight="1" ht="22.5">
      <c r="E29" s="1692" t="s">
        <v>88</v>
      </c>
      <c r="F29" s="1699" t="s">
        <v>295</v>
      </c>
      <c r="G29" s="1699" t="s">
        <v>1616</v>
      </c>
      <c r="H29" s="1699" t="s">
        <v>296</v>
      </c>
      <c r="I29" s="1699" t="s">
        <v>296</v>
      </c>
      <c r="J29" s="4142" t="s">
        <v>296</v>
      </c>
      <c r="K29" s="4142" t="s">
        <v>296</v>
      </c>
      <c r="L29" s="4142" t="s">
        <v>296</v>
      </c>
    </row>
    <row customHeight="1" ht="33.333333333333336">
      <c r="D30" s="1684"/>
      <c r="E30" s="554">
        <f>FHD_NUM_P_1</f>
        <v>1</v>
      </c>
      <c r="F30" s="715" t="str">
        <f>FHD_P_1</f>
        <v>Выручка от регулируемых видов деятельности в сфере водоотведения</v>
      </c>
      <c r="G30" s="1692" t="s">
        <v>1718</v>
      </c>
      <c r="H30" s="565"/>
      <c r="I30" s="565">
        <v>308172.5</v>
      </c>
      <c r="J30" s="4358">
        <v>22457.7</v>
      </c>
      <c r="K30" s="4358">
        <v>20251.1</v>
      </c>
      <c r="L30" s="4358"/>
      <c r="M30" s="551"/>
    </row>
    <row customHeight="1" ht="48.333333333333336">
      <c r="D31" s="1684"/>
      <c r="E31" s="554">
        <f>FHD_NUM_P_2</f>
        <v>2</v>
      </c>
      <c r="F31" s="715" t="str">
        <f>FHD_P_2</f>
        <v>Себестоимость производимых товаров (оказываемых услуг) по регулируемым видам деятельности в сфере водоотведения, включая:</v>
      </c>
      <c r="G31" s="1692" t="s">
        <v>1718</v>
      </c>
      <c r="H31" s="566">
        <f>SUMIF($M33:$M75,$M31,H33:H75)</f>
        <v>0</v>
      </c>
      <c r="I31" s="566">
        <f>SUMIF($M33:$M75,$M31,I33:I75)</f>
        <v>352383.2</v>
      </c>
      <c r="J31" s="4359">
        <f>SUMIF($M33:$M75,$M31,J33:J75)</f>
        <v>28469.8</v>
      </c>
      <c r="K31" s="4359">
        <f>SUMIF($M33:$M75,$M31,K33:K75)</f>
        <v>16463.3</v>
      </c>
      <c r="L31" s="4359">
        <f>SUMIF($M33:$M75,$M31,L33:L75)</f>
        <v>0</v>
      </c>
      <c r="M31" s="1682" t="s">
        <v>1723</v>
      </c>
    </row>
    <row customHeight="1" ht="37.5">
      <c r="D32" s="1684"/>
      <c r="E32" s="554" t="str">
        <f>FHD_NUM_P_3</f>
        <v>2.1</v>
      </c>
      <c r="F32" s="967" t="str">
        <f>FHD_P_3</f>
        <v>Расходы на оплату услуг по приему, транспортировке и очистке сточных вод другими организациями</v>
      </c>
      <c r="G32" s="1692" t="s">
        <v>1718</v>
      </c>
      <c r="H32" s="565"/>
      <c r="I32" s="565">
        <v>0</v>
      </c>
      <c r="J32" s="4358">
        <v>0</v>
      </c>
      <c r="K32" s="4358">
        <v>0</v>
      </c>
      <c r="L32" s="4358"/>
      <c r="M32" s="1682" t="str">
        <f>IF((LEN(E32)-LEN(SUBSTITUTE(E32,".","")))/LEN(".")=1,"p","")</f>
        <v>p</v>
      </c>
    </row>
    <row customHeight="1" ht="11.25" hidden="1">
      <c r="A33" s="2337" t="s">
        <v>1724</v>
      </c>
      <c r="D33" s="1684"/>
      <c r="E33" s="554" t="str">
        <f>FHD_NUM_P_4</f>
        <v/>
      </c>
      <c r="F33" s="967" t="str">
        <f>FHD_P_4</f>
        <v/>
      </c>
      <c r="G33" s="1692" t="s">
        <v>1718</v>
      </c>
      <c r="H33" s="566">
        <f>SUMIF($F34:$F40,$F3,H34:H40)</f>
        <v>0</v>
      </c>
      <c r="I33" s="566">
        <f>SUMIF($F34:$F40,$F3,I34:I40)</f>
        <v>0</v>
      </c>
      <c r="J33" s="4359">
        <f>SUMIF($F34:$F40,$F3,J34:J40)</f>
        <v>0</v>
      </c>
      <c r="K33" s="4359">
        <f>SUMIF($F34:$F40,$F3,K34:K40)</f>
        <v>0</v>
      </c>
      <c r="L33" s="4359">
        <f>SUMIF($F34:$F40,$F3,L34:L40)</f>
        <v>0</v>
      </c>
      <c r="M33" s="1682" t="str">
        <f>IF((LEN(E33)-LEN(SUBSTITUTE(E33,".","")))/LEN(".")=1,"p","")</f>
        <v/>
      </c>
    </row>
    <row s="4362" customFormat="1" customHeight="1" ht="0.75" hidden="1">
      <c r="A34" s="2337"/>
      <c r="B34" s="2338" t="str">
        <f>E33&amp;".0"</f>
        <v>.0</v>
      </c>
      <c r="C34" s="1181"/>
      <c r="D34" s="568"/>
      <c r="E34" s="569"/>
      <c r="F34" s="570"/>
      <c r="G34" s="571"/>
      <c r="H34" s="505"/>
      <c r="I34" s="505"/>
      <c r="J34" s="4368"/>
      <c r="K34" s="4368"/>
      <c r="L34" s="4368"/>
      <c r="M34" s="1682" t="str">
        <f>IF((LEN(E34)-LEN(SUBSTITUTE(E34,".","")))/LEN(".")=1,"p","")</f>
        <v/>
      </c>
      <c r="N34" s="1682"/>
      <c r="O34" s="1682"/>
      <c r="P34" s="1682"/>
      <c r="Q34" s="1682"/>
      <c r="R34" s="1682"/>
      <c r="S34" s="1682"/>
      <c r="T34" s="1682"/>
      <c r="U34" s="1682"/>
      <c r="V34" s="1682"/>
      <c r="W34" s="573"/>
      <c r="X34" s="1682"/>
      <c r="Y34" s="1682"/>
      <c r="Z34" s="1682"/>
      <c r="AA34" s="1682"/>
      <c r="AB34" s="1682"/>
      <c r="AC34" s="574"/>
      <c r="AD34" s="574"/>
      <c r="AE34" s="574"/>
      <c r="AF34" s="574"/>
      <c r="AG34" s="574"/>
    </row>
    <row s="4362" customFormat="1" customHeight="1" ht="0.75" hidden="1">
      <c r="A35" s="2337"/>
      <c r="B35" s="2338"/>
      <c r="C35" s="1181"/>
      <c r="D35" s="568"/>
      <c r="E35" s="575"/>
      <c r="F35" s="576"/>
      <c r="G35" s="571"/>
      <c r="H35" s="577"/>
      <c r="I35" s="577"/>
      <c r="J35" s="4374"/>
      <c r="K35" s="4374"/>
      <c r="L35" s="4374"/>
      <c r="M35" s="1682" t="str">
        <f>IF((LEN(E35)-LEN(SUBSTITUTE(E35,".","")))/LEN(".")=1,"p","")</f>
        <v/>
      </c>
      <c r="N35" s="1682"/>
      <c r="O35" s="1682"/>
      <c r="P35" s="1682"/>
      <c r="Q35" s="1682"/>
      <c r="R35" s="1682"/>
      <c r="S35" s="1682"/>
      <c r="T35" s="1682"/>
      <c r="U35" s="1682"/>
      <c r="V35" s="1682"/>
      <c r="W35" s="573"/>
      <c r="X35" s="1682"/>
      <c r="Y35" s="1682"/>
      <c r="Z35" s="1682"/>
      <c r="AA35" s="1682"/>
      <c r="AB35" s="1682"/>
      <c r="AC35" s="574"/>
      <c r="AD35" s="574"/>
      <c r="AE35" s="574"/>
      <c r="AF35" s="574"/>
      <c r="AG35" s="574"/>
    </row>
    <row s="4362" customFormat="1" customHeight="1" ht="0.75" hidden="1">
      <c r="A36" s="2337"/>
      <c r="B36" s="2338"/>
      <c r="C36" s="1181"/>
      <c r="D36" s="568"/>
      <c r="E36" s="575"/>
      <c r="F36" s="576"/>
      <c r="G36" s="571"/>
      <c r="H36" s="577"/>
      <c r="I36" s="577"/>
      <c r="J36" s="4374"/>
      <c r="K36" s="4374"/>
      <c r="L36" s="4374"/>
      <c r="M36" s="1682" t="str">
        <f>IF((LEN(E36)-LEN(SUBSTITUTE(E36,".","")))/LEN(".")=1,"p","")</f>
        <v/>
      </c>
      <c r="N36" s="1682"/>
      <c r="O36" s="1682"/>
      <c r="P36" s="1682"/>
      <c r="Q36" s="1682"/>
      <c r="R36" s="1682"/>
      <c r="S36" s="1682"/>
      <c r="T36" s="1682"/>
      <c r="U36" s="1682"/>
      <c r="V36" s="1682"/>
      <c r="W36" s="573"/>
      <c r="X36" s="1682"/>
      <c r="Y36" s="1682"/>
      <c r="Z36" s="1682"/>
      <c r="AA36" s="1682"/>
      <c r="AB36" s="1682"/>
      <c r="AC36" s="574"/>
      <c r="AD36" s="574"/>
      <c r="AE36" s="574"/>
      <c r="AF36" s="574"/>
      <c r="AG36" s="574"/>
    </row>
    <row s="4362" customFormat="1" customHeight="1" ht="0.75" hidden="1">
      <c r="A37" s="2337"/>
      <c r="B37" s="2338"/>
      <c r="C37" s="1181"/>
      <c r="D37" s="568"/>
      <c r="E37" s="575"/>
      <c r="F37" s="576"/>
      <c r="G37" s="571"/>
      <c r="H37" s="577"/>
      <c r="I37" s="577"/>
      <c r="J37" s="4374"/>
      <c r="K37" s="4374"/>
      <c r="L37" s="4374"/>
      <c r="M37" s="1682" t="str">
        <f>IF((LEN(E37)-LEN(SUBSTITUTE(E37,".","")))/LEN(".")=1,"p","")</f>
        <v/>
      </c>
      <c r="N37" s="1682"/>
      <c r="O37" s="1682"/>
      <c r="P37" s="1682"/>
      <c r="Q37" s="1682"/>
      <c r="R37" s="1682"/>
      <c r="S37" s="1682"/>
      <c r="T37" s="1682"/>
      <c r="U37" s="1682"/>
      <c r="V37" s="1682"/>
      <c r="W37" s="573"/>
      <c r="X37" s="1682"/>
      <c r="Y37" s="1682"/>
      <c r="Z37" s="1682"/>
      <c r="AA37" s="1682"/>
      <c r="AB37" s="1682"/>
      <c r="AC37" s="574"/>
      <c r="AD37" s="574"/>
      <c r="AE37" s="574"/>
      <c r="AF37" s="574"/>
      <c r="AG37" s="574"/>
    </row>
    <row s="4362" customFormat="1" customHeight="1" ht="0.75" hidden="1">
      <c r="A38" s="2337"/>
      <c r="B38" s="2338"/>
      <c r="C38" s="1181"/>
      <c r="D38" s="568"/>
      <c r="E38" s="575"/>
      <c r="F38" s="576"/>
      <c r="G38" s="571"/>
      <c r="H38" s="577"/>
      <c r="I38" s="577"/>
      <c r="J38" s="4374"/>
      <c r="K38" s="4374"/>
      <c r="L38" s="4374"/>
      <c r="M38" s="1682" t="str">
        <f>IF((LEN(E38)-LEN(SUBSTITUTE(E38,".","")))/LEN(".")=1,"p","")</f>
        <v/>
      </c>
      <c r="N38" s="1682"/>
      <c r="O38" s="1682"/>
      <c r="P38" s="1682"/>
      <c r="Q38" s="1682"/>
      <c r="R38" s="1682"/>
      <c r="S38" s="1682"/>
      <c r="T38" s="1682"/>
      <c r="U38" s="1682"/>
      <c r="V38" s="1682"/>
      <c r="W38" s="573"/>
      <c r="X38" s="1682"/>
      <c r="Y38" s="1682"/>
      <c r="Z38" s="1682"/>
      <c r="AA38" s="1682"/>
      <c r="AB38" s="1682"/>
      <c r="AC38" s="574"/>
      <c r="AD38" s="574"/>
      <c r="AE38" s="574"/>
      <c r="AF38" s="574"/>
      <c r="AG38" s="574"/>
    </row>
    <row s="4362" customFormat="1" customHeight="1" ht="0.75" hidden="1">
      <c r="A39" s="2337"/>
      <c r="B39" s="2338"/>
      <c r="C39" s="1181"/>
      <c r="D39" s="568"/>
      <c r="E39" s="575"/>
      <c r="F39" s="576"/>
      <c r="G39" s="571"/>
      <c r="H39" s="505"/>
      <c r="I39" s="505"/>
      <c r="J39" s="4368"/>
      <c r="K39" s="4368"/>
      <c r="L39" s="4368"/>
      <c r="M39" s="1682" t="str">
        <f>IF((LEN(E39)-LEN(SUBSTITUTE(E39,".","")))/LEN(".")=1,"p","")</f>
        <v/>
      </c>
      <c r="N39" s="1682"/>
      <c r="O39" s="1682"/>
      <c r="P39" s="1682"/>
      <c r="Q39" s="1682"/>
      <c r="R39" s="1682"/>
      <c r="S39" s="1682"/>
      <c r="T39" s="1682"/>
      <c r="U39" s="1682"/>
      <c r="V39" s="1682"/>
      <c r="W39" s="573"/>
      <c r="X39" s="1682"/>
      <c r="Y39" s="1682"/>
      <c r="Z39" s="1682"/>
      <c r="AA39" s="1682"/>
      <c r="AB39" s="1682"/>
      <c r="AC39" s="574"/>
      <c r="AD39" s="574"/>
      <c r="AE39" s="574"/>
      <c r="AF39" s="574"/>
      <c r="AG39" s="574"/>
    </row>
    <row s="3159" customFormat="1" customHeight="1" ht="15" hidden="1">
      <c r="A40" s="2337"/>
      <c r="C40" s="1682"/>
      <c r="D40" s="1679"/>
      <c r="E40" s="578"/>
      <c r="F40" s="579" t="s">
        <v>1725</v>
      </c>
      <c r="G40" s="580"/>
      <c r="H40" s="581"/>
      <c r="I40" s="581"/>
      <c r="J40" s="4377"/>
      <c r="K40" s="4378"/>
      <c r="L40" s="4379"/>
      <c r="M40" s="1682" t="str">
        <f>IF((LEN(E40)-LEN(SUBSTITUTE(E40,".","")))/LEN(".")=1,"p","")</f>
        <v/>
      </c>
      <c r="N40" s="1682"/>
      <c r="O40" s="1682"/>
      <c r="T40" s="1682"/>
      <c r="W40" s="552"/>
      <c r="AC40" s="1678"/>
      <c r="AD40" s="1678"/>
      <c r="AE40" s="1678"/>
      <c r="AF40" s="1678"/>
      <c r="AG40" s="1678"/>
    </row>
    <row customHeight="1" ht="11.25" hidden="1">
      <c r="A41" s="2337" t="s">
        <v>1726</v>
      </c>
      <c r="D41" s="1684"/>
      <c r="E41" s="554" t="str">
        <f>FHD_NUM_P_5</f>
        <v/>
      </c>
      <c r="F41" s="967" t="str">
        <f>FHD_P_5</f>
        <v/>
      </c>
      <c r="G41" s="1692" t="s">
        <v>1718</v>
      </c>
      <c r="H41" s="565"/>
      <c r="I41" s="565"/>
      <c r="J41" s="4358"/>
      <c r="K41" s="4358"/>
      <c r="L41" s="4358"/>
      <c r="M41" s="1682" t="str">
        <f>IF((LEN(E41)-LEN(SUBSTITUTE(E41,".","")))/LEN(".")=1,"p","")</f>
        <v/>
      </c>
    </row>
    <row customHeight="1" ht="11.25" hidden="1">
      <c r="A42" s="2337"/>
      <c r="D42" s="1684"/>
      <c r="E42" s="554" t="str">
        <f>FHD_NUM_P_6</f>
        <v/>
      </c>
      <c r="F42" s="967" t="str">
        <f>FHD_P_6</f>
        <v/>
      </c>
      <c r="G42" s="1692" t="s">
        <v>1718</v>
      </c>
      <c r="H42" s="565"/>
      <c r="I42" s="565"/>
      <c r="J42" s="4358"/>
      <c r="K42" s="4358"/>
      <c r="L42" s="4358"/>
      <c r="M42" s="1682" t="str">
        <f>IF((LEN(E42)-LEN(SUBSTITUTE(E42,".","")))/LEN(".")=1,"p","")</f>
        <v/>
      </c>
    </row>
    <row customHeight="1" ht="11.25" hidden="1">
      <c r="A43" s="2337"/>
      <c r="D43" s="1684"/>
      <c r="E43" s="554" t="str">
        <f>FHD_NUM_P_7</f>
        <v/>
      </c>
      <c r="F43" s="967" t="str">
        <f>FHD_P_7</f>
        <v/>
      </c>
      <c r="G43" s="1692" t="s">
        <v>1718</v>
      </c>
      <c r="H43" s="565"/>
      <c r="I43" s="565"/>
      <c r="J43" s="4358"/>
      <c r="K43" s="4358"/>
      <c r="L43" s="4358"/>
      <c r="M43" s="1682" t="str">
        <f>IF((LEN(E43)-LEN(SUBSTITUTE(E43,".","")))/LEN(".")=1,"p","")</f>
        <v/>
      </c>
    </row>
    <row customHeight="1" ht="38.33333333333333">
      <c r="D44" s="1684"/>
      <c r="E44" s="554" t="str">
        <f>FHD_NUM_P_8</f>
        <v>2.2</v>
      </c>
      <c r="F44" s="967" t="str">
        <f>FHD_P_8</f>
        <v>Расходы на приобретаемую электрическую энергию (мощность), используемую в технологическом процессе</v>
      </c>
      <c r="G44" s="1692" t="s">
        <v>1718</v>
      </c>
      <c r="H44" s="565"/>
      <c r="I44" s="565">
        <v>48837.1</v>
      </c>
      <c r="J44" s="4358">
        <v>4378.9</v>
      </c>
      <c r="K44" s="4358">
        <v>0</v>
      </c>
      <c r="L44" s="4358"/>
      <c r="M44" s="1682" t="str">
        <f>IF((LEN(E44)-LEN(SUBSTITUTE(E44,".","")))/LEN(".")=1,"p","")</f>
        <v>p</v>
      </c>
    </row>
    <row customHeight="1" ht="23.333333333333332">
      <c r="D45" s="1684"/>
      <c r="E45" s="554" t="str">
        <f>FHD_NUM_P_9</f>
        <v>2.2.1</v>
      </c>
      <c r="F45" s="1696" t="str">
        <f>FHD_P_9</f>
        <v>Средневзвешенная стоимость 1 кВт.ч (с учетом мощности)</v>
      </c>
      <c r="G45" s="1692" t="s">
        <v>1245</v>
      </c>
      <c r="H45" s="565"/>
      <c r="I45" s="565">
        <f>I44/I46</f>
        <v>6.24042924026824</v>
      </c>
      <c r="J45" s="4358">
        <f>J44/J46+0.01</f>
        <v>6.23993967675848</v>
      </c>
      <c r="K45" s="4358">
        <v>0</v>
      </c>
      <c r="L45" s="4358"/>
      <c r="M45" s="1682" t="str">
        <f>IF((LEN(E45)-LEN(SUBSTITUTE(E45,".","")))/LEN(".")=1,"p","")</f>
        <v/>
      </c>
    </row>
    <row s="3159" customFormat="1" customHeight="1" ht="19.999999999999996">
      <c r="A46" s="1000"/>
      <c r="C46" s="1682"/>
      <c r="D46" s="582"/>
      <c r="E46" s="554" t="str">
        <f>FHD_NUM_P_10</f>
        <v>2.2.2</v>
      </c>
      <c r="F46" s="1696" t="str">
        <f>FHD_P_10</f>
        <v>Объём приобретения электрической энергии</v>
      </c>
      <c r="G46" s="1692" t="s">
        <v>1727</v>
      </c>
      <c r="H46" s="565"/>
      <c r="I46" s="565">
        <v>7825.92</v>
      </c>
      <c r="J46" s="4358">
        <v>702.88</v>
      </c>
      <c r="K46" s="4358">
        <v>0</v>
      </c>
      <c r="L46" s="4358"/>
      <c r="M46" s="1682" t="str">
        <f>IF((LEN(E46)-LEN(SUBSTITUTE(E46,".","")))/LEN(".")=1,"p","")</f>
        <v/>
      </c>
      <c r="N46" s="1682"/>
      <c r="O46" s="1682"/>
      <c r="T46" s="1682"/>
      <c r="W46" s="552"/>
      <c r="AC46" s="1678"/>
      <c r="AD46" s="1678"/>
      <c r="AE46" s="1678"/>
      <c r="AF46" s="1678"/>
      <c r="AG46" s="1678"/>
    </row>
    <row s="3159" customFormat="1" customHeight="1" ht="11.25" hidden="1">
      <c r="A47" s="1002" t="s">
        <v>1728</v>
      </c>
      <c r="C47" s="1682"/>
      <c r="D47" s="583"/>
      <c r="E47" s="554" t="str">
        <f>FHD_NUM_P_11</f>
        <v/>
      </c>
      <c r="F47" s="967" t="str">
        <f>FHD_P_11</f>
        <v/>
      </c>
      <c r="G47" s="1692" t="s">
        <v>1718</v>
      </c>
      <c r="H47" s="565"/>
      <c r="I47" s="565"/>
      <c r="J47" s="4358"/>
      <c r="K47" s="4358"/>
      <c r="L47" s="4358"/>
      <c r="M47" s="1682" t="str">
        <f>IF((LEN(E47)-LEN(SUBSTITUTE(E47,".","")))/LEN(".")=1,"p","")</f>
        <v/>
      </c>
      <c r="N47" s="1682"/>
      <c r="O47" s="1682"/>
      <c r="T47" s="1682"/>
      <c r="W47" s="552"/>
      <c r="AC47" s="1678"/>
      <c r="AD47" s="1678"/>
      <c r="AE47" s="1678"/>
      <c r="AF47" s="1678"/>
      <c r="AG47" s="1678"/>
    </row>
    <row s="3159" customFormat="1" customHeight="1" ht="21.666666666666668">
      <c r="A48" s="1002" t="s">
        <v>1729</v>
      </c>
      <c r="C48" s="1682"/>
      <c r="D48" s="1684"/>
      <c r="E48" s="554" t="str">
        <f>FHD_NUM_P_12</f>
        <v>2.3</v>
      </c>
      <c r="F48" s="967" t="str">
        <f>FHD_P_12</f>
        <v>Расходы на химические реагенты, используемые в технологическом процессе</v>
      </c>
      <c r="G48" s="1692" t="s">
        <v>1718</v>
      </c>
      <c r="H48" s="585"/>
      <c r="I48" s="585">
        <v>455.8</v>
      </c>
      <c r="J48" s="4385">
        <v>0</v>
      </c>
      <c r="K48" s="4385">
        <v>0</v>
      </c>
      <c r="L48" s="4385"/>
      <c r="M48" s="1682" t="str">
        <f>IF((LEN(E48)-LEN(SUBSTITUTE(E48,".","")))/LEN(".")=1,"p","")</f>
        <v>p</v>
      </c>
      <c r="N48" s="1682"/>
      <c r="O48" s="1682"/>
      <c r="T48" s="1682"/>
      <c r="W48" s="552"/>
      <c r="AC48" s="1678"/>
      <c r="AD48" s="1678"/>
      <c r="AE48" s="1678"/>
      <c r="AF48" s="1678"/>
      <c r="AG48" s="1678"/>
    </row>
    <row s="3622" customFormat="1" customHeight="1" ht="36.666666666666664">
      <c r="A49" s="1001"/>
      <c r="C49" s="739"/>
      <c r="D49" s="681"/>
      <c r="E49" s="554" t="str">
        <f>FHD_NUM_P_13</f>
        <v>2.4</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1718</v>
      </c>
      <c r="H49" s="565"/>
      <c r="I49" s="565">
        <f>I50+I51</f>
        <v>154987.1</v>
      </c>
      <c r="J49" s="4358">
        <f>J50+J51</f>
        <v>14977.6</v>
      </c>
      <c r="K49" s="4358">
        <v>1418.4</v>
      </c>
      <c r="L49" s="4358"/>
      <c r="M49" s="1682" t="str">
        <f>IF((LEN(E49)-LEN(SUBSTITUTE(E49,".","")))/LEN(".")=1,"p","")</f>
        <v>p</v>
      </c>
      <c r="N49" s="739"/>
      <c r="O49" s="739"/>
      <c r="T49" s="739"/>
      <c r="W49" s="740"/>
      <c r="AC49" s="741"/>
      <c r="AD49" s="741"/>
      <c r="AE49" s="741"/>
      <c r="AF49" s="741"/>
      <c r="AG49" s="741"/>
    </row>
    <row s="3622" customFormat="1" customHeight="1" ht="22.5">
      <c r="A50" s="1001"/>
      <c r="C50" s="739"/>
      <c r="D50" s="681"/>
      <c r="E50" s="554" t="str">
        <f>FHD_NUM_P_14</f>
        <v>2.4.1</v>
      </c>
      <c r="F50" s="1696" t="str">
        <f>FHD_P_14</f>
        <v>Расходы на оплату труда основного производственного персонала</v>
      </c>
      <c r="G50" s="1692" t="s">
        <v>1718</v>
      </c>
      <c r="H50" s="565"/>
      <c r="I50" s="565">
        <f>145241.2-I53</f>
        <v>119100.6</v>
      </c>
      <c r="J50" s="4358">
        <f>12648.4-J53</f>
        <v>11511.5</v>
      </c>
      <c r="K50" s="4358">
        <v>1082.6</v>
      </c>
      <c r="L50" s="4358"/>
      <c r="M50" s="1682" t="str">
        <f>IF((LEN(E50)-LEN(SUBSTITUTE(E50,".","")))/LEN(".")=1,"p","")</f>
        <v/>
      </c>
      <c r="N50" s="739"/>
      <c r="O50" s="739"/>
      <c r="T50" s="739"/>
      <c r="W50" s="740"/>
      <c r="AC50" s="741"/>
      <c r="AD50" s="741"/>
      <c r="AE50" s="741"/>
      <c r="AF50" s="741"/>
      <c r="AG50" s="741"/>
    </row>
    <row s="3622" customFormat="1" customHeight="1" ht="32.5">
      <c r="A51" s="1001"/>
      <c r="C51" s="739"/>
      <c r="D51" s="681"/>
      <c r="E51" s="554" t="str">
        <f>FHD_NUM_P_15</f>
        <v>2.4.2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1718</v>
      </c>
      <c r="H51" s="565"/>
      <c r="I51" s="565">
        <f>43602.0-I54</f>
        <v>35886.5</v>
      </c>
      <c r="J51" s="4358">
        <f>3801.7-J54</f>
        <v>3466.1</v>
      </c>
      <c r="K51" s="4358">
        <v>335.8</v>
      </c>
      <c r="L51" s="4358"/>
      <c r="M51" s="1682" t="str">
        <f>IF((LEN(E51)-LEN(SUBSTITUTE(E51,".","")))/LEN(".")=1,"p","")</f>
        <v/>
      </c>
      <c r="N51" s="739"/>
      <c r="O51" s="739"/>
      <c r="T51" s="739"/>
      <c r="W51" s="740"/>
      <c r="AC51" s="741"/>
      <c r="AD51" s="741"/>
      <c r="AE51" s="741"/>
      <c r="AF51" s="741"/>
      <c r="AG51" s="741"/>
    </row>
    <row s="3159" customFormat="1" customHeight="1" ht="43.333333333333336">
      <c r="A52" s="1000"/>
      <c r="C52" s="1682"/>
      <c r="D52" s="1684"/>
      <c r="E52" s="554" t="str">
        <f>FHD_NUM_P_16</f>
        <v>2.5</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692" t="s">
        <v>1718</v>
      </c>
      <c r="H52" s="565"/>
      <c r="I52" s="565">
        <f>I53+I54</f>
        <v>33856.1</v>
      </c>
      <c r="J52" s="4358">
        <f>J53+J54</f>
        <v>1472.5</v>
      </c>
      <c r="K52" s="4358">
        <v>0</v>
      </c>
      <c r="L52" s="4358"/>
      <c r="M52" s="1682" t="str">
        <f>IF((LEN(E52)-LEN(SUBSTITUTE(E52,".","")))/LEN(".")=1,"p","")</f>
        <v>p</v>
      </c>
      <c r="N52" s="1682"/>
      <c r="O52" s="1688"/>
      <c r="P52" s="545"/>
      <c r="Q52" s="545"/>
      <c r="T52" s="1682"/>
      <c r="W52" s="552"/>
      <c r="AC52" s="1678"/>
      <c r="AD52" s="1678"/>
      <c r="AE52" s="1678"/>
      <c r="AF52" s="1678"/>
      <c r="AG52" s="1678"/>
    </row>
    <row s="3159" customFormat="1" customHeight="1" ht="28.333333333333332">
      <c r="A53" s="1000"/>
      <c r="C53" s="1682"/>
      <c r="D53" s="1684"/>
      <c r="E53" s="554" t="str">
        <f>FHD_NUM_P_17</f>
        <v>2.5.1</v>
      </c>
      <c r="F53" s="1696" t="str">
        <f>FHD_P_17</f>
        <v>Расходы на оплату труда административно-управленческого персонала, в том числе:</v>
      </c>
      <c r="G53" s="1692" t="s">
        <v>1718</v>
      </c>
      <c r="H53" s="565"/>
      <c r="I53" s="565">
        <v>26140.6</v>
      </c>
      <c r="J53" s="4358">
        <v>1136.9</v>
      </c>
      <c r="K53" s="4358">
        <v>0</v>
      </c>
      <c r="L53" s="4358"/>
      <c r="M53" s="1682" t="str">
        <f>IF((LEN(E53)-LEN(SUBSTITUTE(E53,".","")))/LEN(".")=1,"p","")</f>
        <v/>
      </c>
      <c r="N53" s="1682"/>
      <c r="O53" s="1688"/>
      <c r="P53" s="545"/>
      <c r="Q53" s="545"/>
      <c r="T53" s="1682"/>
      <c r="W53" s="552"/>
      <c r="AC53" s="1678"/>
      <c r="AD53" s="1678"/>
      <c r="AE53" s="1678"/>
      <c r="AF53" s="1678"/>
      <c r="AG53" s="1678"/>
    </row>
    <row s="3159" customFormat="1" customHeight="1" ht="30">
      <c r="A54" s="1000"/>
      <c r="C54" s="1682"/>
      <c r="D54" s="1684"/>
      <c r="E54" s="554" t="str">
        <f>FHD_NUM_P_18</f>
        <v>2.5.2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1718</v>
      </c>
      <c r="H54" s="565"/>
      <c r="I54" s="565">
        <v>7715.5</v>
      </c>
      <c r="J54" s="4358">
        <v>335.6</v>
      </c>
      <c r="K54" s="4358">
        <v>0</v>
      </c>
      <c r="L54" s="4358"/>
      <c r="M54" s="1682" t="str">
        <f>IF((LEN(E54)-LEN(SUBSTITUTE(E54,".","")))/LEN(".")=1,"p","")</f>
        <v/>
      </c>
      <c r="N54" s="1682"/>
      <c r="O54" s="1688"/>
      <c r="P54" s="545"/>
      <c r="Q54" s="545"/>
      <c r="T54" s="1682"/>
      <c r="W54" s="552"/>
      <c r="AC54" s="1678"/>
      <c r="AD54" s="1678"/>
      <c r="AE54" s="1678"/>
      <c r="AF54" s="1678"/>
      <c r="AG54" s="1678"/>
    </row>
    <row s="3159" customFormat="1" customHeight="1" ht="30">
      <c r="A55" s="1000"/>
      <c r="C55" s="1682"/>
      <c r="D55" s="583"/>
      <c r="E55" s="554" t="str">
        <f>FHD_NUM_P_19</f>
        <v>2.6</v>
      </c>
      <c r="F55" s="967" t="str">
        <f>FHD_P_19</f>
        <v>Расходы на амортизацию основных средств и нематериальных активов</v>
      </c>
      <c r="G55" s="1692" t="s">
        <v>1718</v>
      </c>
      <c r="H55" s="565"/>
      <c r="I55" s="565">
        <v>55335.4</v>
      </c>
      <c r="J55" s="4358">
        <v>3202.4</v>
      </c>
      <c r="K55" s="4358">
        <v>0</v>
      </c>
      <c r="L55" s="4358"/>
      <c r="M55" s="1682" t="str">
        <f>IF((LEN(E55)-LEN(SUBSTITUTE(E55,".","")))/LEN(".")=1,"p","")</f>
        <v>p</v>
      </c>
      <c r="N55" s="1682"/>
      <c r="O55" s="1682"/>
      <c r="T55" s="1682"/>
      <c r="W55" s="552"/>
      <c r="AC55" s="1678"/>
      <c r="AD55" s="1678"/>
      <c r="AE55" s="1678"/>
      <c r="AF55" s="1678"/>
      <c r="AG55" s="1678"/>
    </row>
    <row s="3159" customFormat="1" customHeight="1" ht="25">
      <c r="A56" s="1000"/>
      <c r="C56" s="1682"/>
      <c r="D56" s="583"/>
      <c r="E56" s="554" t="str">
        <f>FHD_NUM_P_20</f>
        <v>2.6.1</v>
      </c>
      <c r="F56" s="1696" t="str">
        <f>FHD_P_20</f>
        <v>Расходы на амортизацию основных средств</v>
      </c>
      <c r="G56" s="1692" t="s">
        <v>1718</v>
      </c>
      <c r="H56" s="565"/>
      <c r="I56" s="565">
        <f>I55</f>
        <v>55335.4</v>
      </c>
      <c r="J56" s="4358">
        <f>J55</f>
        <v>3202.4</v>
      </c>
      <c r="K56" s="4358">
        <v>0</v>
      </c>
      <c r="L56" s="4358"/>
      <c r="M56" s="1682" t="str">
        <f>IF((LEN(E56)-LEN(SUBSTITUTE(E56,".","")))/LEN(".")=1,"p","")</f>
        <v/>
      </c>
      <c r="N56" s="1682"/>
      <c r="O56" s="1682"/>
      <c r="T56" s="1682"/>
      <c r="W56" s="552"/>
      <c r="AC56" s="1678"/>
      <c r="AD56" s="1678"/>
      <c r="AE56" s="1678"/>
      <c r="AF56" s="1678"/>
      <c r="AG56" s="1678"/>
    </row>
    <row s="3159" customFormat="1" customHeight="1" ht="11.25">
      <c r="A57" s="1000"/>
      <c r="C57" s="1682"/>
      <c r="D57" s="583"/>
      <c r="E57" s="554" t="str">
        <f>FHD_NUM_P_21</f>
        <v>2.6.2</v>
      </c>
      <c r="F57" s="1696" t="str">
        <f>FHD_P_21</f>
        <v>Расходы на амортизацию нематериальных активов</v>
      </c>
      <c r="G57" s="1692" t="s">
        <v>1718</v>
      </c>
      <c r="H57" s="565"/>
      <c r="I57" s="565">
        <v>0</v>
      </c>
      <c r="J57" s="4358">
        <v>0</v>
      </c>
      <c r="K57" s="4358">
        <v>0</v>
      </c>
      <c r="L57" s="4358"/>
      <c r="M57" s="1682" t="str">
        <f>IF((LEN(E57)-LEN(SUBSTITUTE(E57,".","")))/LEN(".")=1,"p","")</f>
        <v/>
      </c>
      <c r="N57" s="1682"/>
      <c r="O57" s="1682"/>
      <c r="T57" s="1682"/>
      <c r="W57" s="552"/>
      <c r="AC57" s="1678"/>
      <c r="AD57" s="1678"/>
      <c r="AE57" s="1678"/>
      <c r="AF57" s="1678"/>
      <c r="AG57" s="1678"/>
    </row>
    <row s="3159" customFormat="1" customHeight="1" ht="33.333333333333336">
      <c r="A58" s="1000"/>
      <c r="C58" s="1682"/>
      <c r="D58" s="1684"/>
      <c r="E58" s="554" t="str">
        <f>FHD_NUM_P_22</f>
        <v>2.7</v>
      </c>
      <c r="F58" s="967" t="str">
        <f>FHD_P_22</f>
        <v>Расходы на аренду имущества, используемого для осуществления регулируемых видов деятельности в сфере водоотведения</v>
      </c>
      <c r="G58" s="1692" t="s">
        <v>1718</v>
      </c>
      <c r="H58" s="565"/>
      <c r="I58" s="565">
        <v>0</v>
      </c>
      <c r="J58" s="4358">
        <v>0</v>
      </c>
      <c r="K58" s="4358">
        <v>0</v>
      </c>
      <c r="L58" s="4358"/>
      <c r="M58" s="1682" t="str">
        <f>IF((LEN(E58)-LEN(SUBSTITUTE(E58,".","")))/LEN(".")=1,"p","")</f>
        <v>p</v>
      </c>
      <c r="N58" s="1682"/>
      <c r="O58" s="1682"/>
      <c r="T58" s="1682"/>
      <c r="W58" s="552"/>
      <c r="AC58" s="1678"/>
      <c r="AD58" s="1678"/>
      <c r="AE58" s="1678"/>
      <c r="AF58" s="1678"/>
      <c r="AG58" s="1678"/>
    </row>
    <row s="3159" customFormat="1" customHeight="1" ht="11.25">
      <c r="A59" s="1000"/>
      <c r="C59" s="1682"/>
      <c r="D59" s="583"/>
      <c r="E59" s="554" t="str">
        <f>FHD_NUM_P_23</f>
        <v>2.8</v>
      </c>
      <c r="F59" s="967" t="str">
        <f>FHD_P_23</f>
        <v>Общепроизводственные расходы, в том числе:</v>
      </c>
      <c r="G59" s="1692" t="s">
        <v>1718</v>
      </c>
      <c r="H59" s="565"/>
      <c r="I59" s="565">
        <v>19886.7</v>
      </c>
      <c r="J59" s="4358">
        <v>1349.3</v>
      </c>
      <c r="K59" s="4358">
        <v>4143.9</v>
      </c>
      <c r="L59" s="4358"/>
      <c r="M59" s="1682" t="str">
        <f>IF((LEN(E59)-LEN(SUBSTITUTE(E59,".","")))/LEN(".")=1,"p","")</f>
        <v>p</v>
      </c>
      <c r="N59" s="1682"/>
      <c r="O59" s="1682"/>
      <c r="T59" s="1682"/>
      <c r="W59" s="552"/>
      <c r="AC59" s="1678"/>
      <c r="AD59" s="1678"/>
      <c r="AE59" s="1678"/>
      <c r="AF59" s="1678"/>
      <c r="AG59" s="1678"/>
    </row>
    <row s="3159" customFormat="1" customHeight="1" ht="11.25">
      <c r="A60" s="1000"/>
      <c r="C60" s="1682"/>
      <c r="D60" s="583"/>
      <c r="E60" s="554" t="str">
        <f>FHD_NUM_P_24</f>
        <v>2.8.1</v>
      </c>
      <c r="F60" s="1696" t="str">
        <f>FHD_P_24</f>
        <v>Расходы на текущий ремонт</v>
      </c>
      <c r="G60" s="1692" t="s">
        <v>1718</v>
      </c>
      <c r="H60" s="565"/>
      <c r="I60" s="565">
        <v>0</v>
      </c>
      <c r="J60" s="4358">
        <v>0</v>
      </c>
      <c r="K60" s="4358">
        <v>0</v>
      </c>
      <c r="L60" s="4358"/>
      <c r="M60" s="1682" t="str">
        <f>IF((LEN(E60)-LEN(SUBSTITUTE(E60,".","")))/LEN(".")=1,"p","")</f>
        <v/>
      </c>
      <c r="N60" s="1682"/>
      <c r="O60" s="1682"/>
      <c r="T60" s="1682"/>
      <c r="W60" s="552"/>
      <c r="AC60" s="1678"/>
      <c r="AD60" s="1678"/>
      <c r="AE60" s="1678"/>
      <c r="AF60" s="1678"/>
      <c r="AG60" s="1678"/>
    </row>
    <row s="3159" customFormat="1" customHeight="1" ht="11.25">
      <c r="A61" s="1000"/>
      <c r="C61" s="1682"/>
      <c r="D61" s="583"/>
      <c r="E61" s="554" t="str">
        <f>FHD_NUM_P_25</f>
        <v>2.8.2</v>
      </c>
      <c r="F61" s="1696" t="str">
        <f>FHD_P_25</f>
        <v>Расходы на капитальный ремонт</v>
      </c>
      <c r="G61" s="1692" t="s">
        <v>1718</v>
      </c>
      <c r="H61" s="565"/>
      <c r="I61" s="565">
        <v>0</v>
      </c>
      <c r="J61" s="4358">
        <v>0</v>
      </c>
      <c r="K61" s="4358">
        <v>0</v>
      </c>
      <c r="L61" s="4358"/>
      <c r="M61" s="1682" t="str">
        <f>IF((LEN(E61)-LEN(SUBSTITUTE(E61,".","")))/LEN(".")=1,"p","")</f>
        <v/>
      </c>
      <c r="N61" s="1682"/>
      <c r="O61" s="1682"/>
      <c r="T61" s="1682"/>
      <c r="W61" s="552"/>
      <c r="AC61" s="1678"/>
      <c r="AD61" s="1678"/>
      <c r="AE61" s="1678"/>
      <c r="AF61" s="1678"/>
      <c r="AG61" s="1678"/>
    </row>
    <row s="3159" customFormat="1" customHeight="1" ht="11.25">
      <c r="A62" s="1000"/>
      <c r="C62" s="1682"/>
      <c r="D62" s="1684"/>
      <c r="E62" s="554" t="str">
        <f>FHD_NUM_P_26</f>
        <v>2.9</v>
      </c>
      <c r="F62" s="967" t="str">
        <f>FHD_P_26</f>
        <v>Общехозяйственные расходы, в том числе:</v>
      </c>
      <c r="G62" s="1692" t="s">
        <v>1718</v>
      </c>
      <c r="H62" s="565"/>
      <c r="I62" s="565">
        <f>6493.0+I63+I64</f>
        <v>7596.4</v>
      </c>
      <c r="J62" s="4358">
        <f>510.8+J63+J64</f>
        <v>597.6</v>
      </c>
      <c r="K62" s="4358">
        <v>0</v>
      </c>
      <c r="L62" s="4358"/>
      <c r="M62" s="1682" t="str">
        <f>IF((LEN(E62)-LEN(SUBSTITUTE(E62,".","")))/LEN(".")=1,"p","")</f>
        <v>p</v>
      </c>
      <c r="N62" s="1682"/>
      <c r="O62" s="1682"/>
      <c r="T62" s="1682"/>
      <c r="W62" s="552"/>
      <c r="AC62" s="1678"/>
      <c r="AD62" s="1678"/>
      <c r="AE62" s="1678"/>
      <c r="AF62" s="1678"/>
      <c r="AG62" s="1678"/>
    </row>
    <row s="3159" customFormat="1" customHeight="1" ht="11.25">
      <c r="A63" s="1000"/>
      <c r="C63" s="1682"/>
      <c r="D63" s="1684"/>
      <c r="E63" s="554" t="str">
        <f>FHD_NUM_P_27</f>
        <v>2.9.1</v>
      </c>
      <c r="F63" s="1696" t="str">
        <f>FHD_P_27</f>
        <v>Расходы на текущий ремонт</v>
      </c>
      <c r="G63" s="1692" t="s">
        <v>1718</v>
      </c>
      <c r="H63" s="565"/>
      <c r="I63" s="565">
        <f>1416.7-586.2-177.1</f>
        <v>653.4</v>
      </c>
      <c r="J63" s="4358">
        <f>111.4-46.1-13.9</f>
        <v>51.4</v>
      </c>
      <c r="K63" s="4358">
        <v>0</v>
      </c>
      <c r="L63" s="4358"/>
      <c r="M63" s="1682" t="str">
        <f>IF((LEN(E63)-LEN(SUBSTITUTE(E63,".","")))/LEN(".")=1,"p","")</f>
        <v/>
      </c>
      <c r="N63" s="1682"/>
      <c r="O63" s="1682"/>
      <c r="T63" s="1682"/>
      <c r="W63" s="552"/>
      <c r="AC63" s="1678"/>
      <c r="AD63" s="1678"/>
      <c r="AE63" s="1678"/>
      <c r="AF63" s="1678"/>
      <c r="AG63" s="1678"/>
    </row>
    <row s="3159" customFormat="1" customHeight="1" ht="11.25">
      <c r="A64" s="1000"/>
      <c r="C64" s="1682"/>
      <c r="D64" s="1684"/>
      <c r="E64" s="554" t="str">
        <f>FHD_NUM_P_28</f>
        <v>2.9.2</v>
      </c>
      <c r="F64" s="1696" t="str">
        <f>FHD_P_28</f>
        <v>Расходы на капитальный ремонт</v>
      </c>
      <c r="G64" s="1692" t="s">
        <v>1718</v>
      </c>
      <c r="H64" s="565"/>
      <c r="I64" s="565">
        <v>450</v>
      </c>
      <c r="J64" s="4358">
        <v>35.4</v>
      </c>
      <c r="K64" s="4358">
        <v>0</v>
      </c>
      <c r="L64" s="4358"/>
      <c r="M64" s="1682" t="str">
        <f>IF((LEN(E64)-LEN(SUBSTITUTE(E64,".","")))/LEN(".")=1,"p","")</f>
        <v/>
      </c>
      <c r="N64" s="1682"/>
      <c r="O64" s="1682"/>
      <c r="T64" s="1682"/>
      <c r="W64" s="552"/>
      <c r="AC64" s="1678"/>
      <c r="AD64" s="1678"/>
      <c r="AE64" s="1678"/>
      <c r="AF64" s="1678"/>
      <c r="AG64" s="1678"/>
    </row>
    <row s="3159" customFormat="1" customHeight="1" ht="29.166666666666668">
      <c r="A65" s="1000"/>
      <c r="C65" s="1682"/>
      <c r="D65" s="1684"/>
      <c r="E65" s="554" t="str">
        <f>FHD_NUM_P_29</f>
        <v>2.10</v>
      </c>
      <c r="F65" s="967" t="str">
        <f>FHD_P_29</f>
        <v>Расходы на капитальный и текущий ремонт основных средств</v>
      </c>
      <c r="G65" s="1692" t="s">
        <v>1718</v>
      </c>
      <c r="H65" s="565"/>
      <c r="I65" s="565">
        <f>19430.2-I64-I63</f>
        <v>18326.8</v>
      </c>
      <c r="J65" s="4358">
        <f>1718.1-J64-J63</f>
        <v>1631.3</v>
      </c>
      <c r="K65" s="4358">
        <v>0</v>
      </c>
      <c r="L65" s="4358"/>
      <c r="M65" s="1682" t="str">
        <f>IF((LEN(E65)-LEN(SUBSTITUTE(E65,".","")))/LEN(".")=1,"p","")</f>
        <v>p</v>
      </c>
      <c r="N65" s="1682"/>
      <c r="O65" s="1682"/>
      <c r="T65" s="1682"/>
      <c r="W65" s="552"/>
      <c r="AC65" s="1678"/>
      <c r="AD65" s="1678"/>
      <c r="AE65" s="1678"/>
      <c r="AF65" s="1678"/>
      <c r="AG65" s="1678"/>
    </row>
    <row s="3159" customFormat="1" customHeight="1" ht="49.166666666666664">
      <c r="A66" s="1000"/>
      <c r="C66" s="1682"/>
      <c r="D66" s="1684"/>
      <c r="E66" s="554" t="str">
        <f>FHD_NUM_P_30</f>
        <v>2.10.1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299</v>
      </c>
      <c r="H66" s="1695" t="s">
        <v>423</v>
      </c>
      <c r="I66" s="1695" t="s">
        <v>423</v>
      </c>
      <c r="J66" s="4391" t="s">
        <v>423</v>
      </c>
      <c r="K66" s="4391" t="s">
        <v>423</v>
      </c>
      <c r="L66" s="4391" t="s">
        <v>423</v>
      </c>
      <c r="M66" s="1682" t="str">
        <f>IF((LEN(E66)-LEN(SUBSTITUTE(E66,".","")))/LEN(".")=1,"p","")</f>
        <v/>
      </c>
      <c r="N66" s="1682">
        <f>_xlfn.IFERROR(MATCH("есть",B_FHD_FLAG_INDEX_1,0),0)</f>
        <v>0</v>
      </c>
      <c r="O66" s="1682"/>
      <c r="T66" s="1682"/>
      <c r="W66" s="552"/>
      <c r="AC66" s="1678"/>
      <c r="AD66" s="1678"/>
      <c r="AE66" s="1678"/>
      <c r="AF66" s="1678"/>
      <c r="AG66" s="1678"/>
    </row>
    <row s="3159" customFormat="1" customHeight="1" ht="35.833333333333336">
      <c r="A67" s="2337" t="s">
        <v>1730</v>
      </c>
      <c r="C67" s="1682"/>
      <c r="D67" s="1684"/>
      <c r="E67" s="554" t="str">
        <f>FHD_NUM_P_31</f>
        <v>2.11</v>
      </c>
      <c r="F67" s="96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692" t="s">
        <v>1718</v>
      </c>
      <c r="H67" s="565"/>
      <c r="I67" s="565">
        <v>0</v>
      </c>
      <c r="J67" s="4358">
        <v>0</v>
      </c>
      <c r="K67" s="4358">
        <v>0</v>
      </c>
      <c r="L67" s="4358"/>
      <c r="M67" s="1682" t="str">
        <f>IF((LEN(E67)-LEN(SUBSTITUTE(E67,".","")))/LEN(".")=1,"p","")</f>
        <v>p</v>
      </c>
      <c r="N67" s="1682"/>
      <c r="O67" s="1682"/>
      <c r="T67" s="1682"/>
      <c r="W67" s="552"/>
      <c r="AC67" s="1678"/>
      <c r="AD67" s="1678"/>
      <c r="AE67" s="1678"/>
      <c r="AF67" s="1678"/>
      <c r="AG67" s="1678"/>
    </row>
    <row s="3159" customFormat="1" customHeight="1" ht="59.166666666666664">
      <c r="A68" s="2337"/>
      <c r="C68" s="1682"/>
      <c r="D68" s="1684"/>
      <c r="E68" s="554" t="str">
        <f>FHD_NUM_P_32</f>
        <v>2.11.1</v>
      </c>
      <c r="F68" s="16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92" t="s">
        <v>299</v>
      </c>
      <c r="H68" s="1695" t="s">
        <v>423</v>
      </c>
      <c r="I68" s="1695" t="s">
        <v>423</v>
      </c>
      <c r="J68" s="4391" t="s">
        <v>423</v>
      </c>
      <c r="K68" s="4391" t="s">
        <v>423</v>
      </c>
      <c r="L68" s="4391" t="s">
        <v>423</v>
      </c>
      <c r="M68" s="1682" t="str">
        <f>IF((LEN(E68)-LEN(SUBSTITUTE(E68,".","")))/LEN(".")=1,"p","")</f>
        <v/>
      </c>
      <c r="N68" s="1682">
        <f>_xlfn.IFERROR(MATCH("есть",B_FHD_FLAG_INDEX_2,0),0)</f>
        <v>0</v>
      </c>
      <c r="O68" s="1682"/>
      <c r="T68" s="1682"/>
      <c r="W68" s="552"/>
      <c r="AC68" s="1678"/>
      <c r="AD68" s="1678"/>
      <c r="AE68" s="1678"/>
      <c r="AF68" s="1678"/>
      <c r="AG68" s="1678"/>
    </row>
    <row s="3159" customFormat="1" customHeight="1" ht="49.166666666666664">
      <c r="A69" s="1000"/>
      <c r="C69" s="1682"/>
      <c r="D69" s="1684"/>
      <c r="E69" s="554" t="str">
        <f>FHD_NUM_P_33</f>
        <v>2.12</v>
      </c>
      <c r="F69" s="96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690" t="s">
        <v>1718</v>
      </c>
      <c r="H69" s="587">
        <f>SUM(H70:H75)</f>
        <v>0</v>
      </c>
      <c r="I69" s="587">
        <f>SUM(I70:I75)</f>
        <v>13101.8</v>
      </c>
      <c r="J69" s="4394">
        <f>SUM(J70:J75)</f>
        <v>860.2</v>
      </c>
      <c r="K69" s="4394">
        <f>SUM(K70:K75)</f>
        <v>10901</v>
      </c>
      <c r="L69" s="4394">
        <f>SUM(L70:L75)</f>
        <v>0</v>
      </c>
      <c r="M69" s="1682" t="str">
        <f>IF((LEN(E69)-LEN(SUBSTITUTE(E69,".","")))/LEN(".")=1,"p","")</f>
        <v>p</v>
      </c>
      <c r="N69" s="1682"/>
      <c r="O69" s="1682"/>
      <c r="T69" s="1682"/>
      <c r="W69" s="552"/>
      <c r="AC69" s="1678"/>
      <c r="AD69" s="1678"/>
      <c r="AE69" s="1678"/>
      <c r="AF69" s="1678"/>
      <c r="AG69" s="1678"/>
    </row>
    <row s="3165" customFormat="1" customHeight="1" ht="0.75">
      <c r="A70" s="1181"/>
      <c r="D70" s="556"/>
      <c r="E70" s="812" t="str">
        <f>E69&amp;".0"</f>
        <v>2.12.0</v>
      </c>
      <c r="F70" s="1004"/>
      <c r="G70" s="559"/>
      <c r="H70" s="1005"/>
      <c r="I70" s="1005"/>
      <c r="J70" s="4397"/>
      <c r="K70" s="4397"/>
      <c r="L70" s="4397"/>
      <c r="M70" s="1682" t="str">
        <f>IF((LEN(E70)-LEN(SUBSTITUTE(E70,".","")))/LEN(".")=1,"p","")</f>
        <v/>
      </c>
    </row>
    <row s="4346" customFormat="1" customHeight="1" ht="22.5">
      <c r="A71" s="4398"/>
      <c r="B71" s="4116"/>
      <c r="C71" s="4399"/>
      <c r="D71" s="4144" t="s">
        <v>121</v>
      </c>
      <c r="E71" s="4142" t="str">
        <f>E69&amp;".1"</f>
        <v>2.12.1</v>
      </c>
      <c r="F71" s="4400" t="s">
        <v>1731</v>
      </c>
      <c r="G71" s="4142" t="s">
        <v>1718</v>
      </c>
      <c r="H71" s="4336"/>
      <c r="I71" s="4336">
        <v>12386</v>
      </c>
      <c r="J71" s="4336">
        <v>860.2</v>
      </c>
      <c r="K71" s="4336">
        <v>946</v>
      </c>
      <c r="L71" s="4336"/>
      <c r="M71" s="4401"/>
      <c r="N71" s="4399"/>
      <c r="O71" s="4399"/>
      <c r="P71" s="4116"/>
      <c r="Q71" s="4116"/>
      <c r="R71" s="4116"/>
      <c r="S71" s="4116"/>
      <c r="T71" s="4399"/>
      <c r="U71" s="4116"/>
      <c r="V71" s="4116"/>
      <c r="W71" s="4402"/>
      <c r="X71" s="4116"/>
      <c r="Y71" s="4116"/>
      <c r="Z71" s="4116"/>
      <c r="AA71" s="4116"/>
      <c r="AB71" s="4116"/>
      <c r="AC71" s="4346"/>
      <c r="AD71" s="4346"/>
      <c r="AE71" s="4346"/>
      <c r="AF71" s="4346"/>
      <c r="AG71" s="4346"/>
    </row>
    <row s="4346" customFormat="1" customHeight="1" ht="22.5">
      <c r="A72" s="4398"/>
      <c r="B72" s="4116"/>
      <c r="C72" s="4399"/>
      <c r="D72" s="4144" t="s">
        <v>121</v>
      </c>
      <c r="E72" s="4142" t="str">
        <f>E69&amp;".2"</f>
        <v>2.12.2</v>
      </c>
      <c r="F72" s="4400" t="s">
        <v>1732</v>
      </c>
      <c r="G72" s="4142" t="s">
        <v>1718</v>
      </c>
      <c r="H72" s="4336"/>
      <c r="I72" s="4336">
        <v>715.8</v>
      </c>
      <c r="J72" s="4336">
        <v>0</v>
      </c>
      <c r="K72" s="4336"/>
      <c r="L72" s="4336"/>
      <c r="M72" s="4401"/>
      <c r="N72" s="4399"/>
      <c r="O72" s="4399"/>
      <c r="P72" s="4116"/>
      <c r="Q72" s="4116"/>
      <c r="R72" s="4116"/>
      <c r="S72" s="4116"/>
      <c r="T72" s="4399"/>
      <c r="U72" s="4116"/>
      <c r="V72" s="4116"/>
      <c r="W72" s="4402"/>
      <c r="X72" s="4116"/>
      <c r="Y72" s="4116"/>
      <c r="Z72" s="4116"/>
      <c r="AA72" s="4116"/>
      <c r="AB72" s="4116"/>
      <c r="AC72" s="4346"/>
      <c r="AD72" s="4346"/>
      <c r="AE72" s="4346"/>
      <c r="AF72" s="4346"/>
      <c r="AG72" s="4346"/>
    </row>
    <row s="4346" customFormat="1" customHeight="1" ht="22.5">
      <c r="A73" s="4398"/>
      <c r="B73" s="4116"/>
      <c r="C73" s="4399"/>
      <c r="D73" s="4144" t="s">
        <v>121</v>
      </c>
      <c r="E73" s="4142" t="str">
        <f>E69&amp;".3"</f>
        <v>2.12.3</v>
      </c>
      <c r="F73" s="4400" t="s">
        <v>1733</v>
      </c>
      <c r="G73" s="4142" t="s">
        <v>1718</v>
      </c>
      <c r="H73" s="4336"/>
      <c r="I73" s="4336">
        <v>0</v>
      </c>
      <c r="J73" s="4336">
        <v>0</v>
      </c>
      <c r="K73" s="4336">
        <v>8826.1</v>
      </c>
      <c r="L73" s="4336"/>
      <c r="M73" s="4401"/>
      <c r="N73" s="4399"/>
      <c r="O73" s="4399"/>
      <c r="P73" s="4116"/>
      <c r="Q73" s="4116"/>
      <c r="R73" s="4116"/>
      <c r="S73" s="4116"/>
      <c r="T73" s="4399"/>
      <c r="U73" s="4116"/>
      <c r="V73" s="4116"/>
      <c r="W73" s="4402"/>
      <c r="X73" s="4116"/>
      <c r="Y73" s="4116"/>
      <c r="Z73" s="4116"/>
      <c r="AA73" s="4116"/>
      <c r="AB73" s="4116"/>
      <c r="AC73" s="4346"/>
      <c r="AD73" s="4346"/>
      <c r="AE73" s="4346"/>
      <c r="AF73" s="4346"/>
      <c r="AG73" s="4346"/>
    </row>
    <row s="4346" customFormat="1" customHeight="1" ht="22.5">
      <c r="A74" s="4398"/>
      <c r="B74" s="4116"/>
      <c r="C74" s="4399"/>
      <c r="D74" s="4144" t="s">
        <v>121</v>
      </c>
      <c r="E74" s="4142" t="str">
        <f>E69&amp;".4"</f>
        <v>2.12.4</v>
      </c>
      <c r="F74" s="4400" t="s">
        <v>707</v>
      </c>
      <c r="G74" s="4142" t="s">
        <v>1718</v>
      </c>
      <c r="H74" s="4336"/>
      <c r="I74" s="4336">
        <v>0</v>
      </c>
      <c r="J74" s="4336">
        <v>0</v>
      </c>
      <c r="K74" s="4336">
        <v>1128.9</v>
      </c>
      <c r="L74" s="4336"/>
      <c r="M74" s="4401"/>
      <c r="N74" s="4399"/>
      <c r="O74" s="4399"/>
      <c r="P74" s="4116"/>
      <c r="Q74" s="4116"/>
      <c r="R74" s="4116"/>
      <c r="S74" s="4116"/>
      <c r="T74" s="4399"/>
      <c r="U74" s="4116"/>
      <c r="V74" s="4116"/>
      <c r="W74" s="4402"/>
      <c r="X74" s="4116"/>
      <c r="Y74" s="4116"/>
      <c r="Z74" s="4116"/>
      <c r="AA74" s="4116"/>
      <c r="AB74" s="4116"/>
      <c r="AC74" s="4346"/>
      <c r="AD74" s="4346"/>
      <c r="AE74" s="4346"/>
      <c r="AF74" s="4346"/>
      <c r="AG74" s="4346"/>
    </row>
    <row s="3159" customFormat="1" customHeight="1" ht="14.25">
      <c r="A75" s="1000"/>
      <c r="C75" s="1682"/>
      <c r="D75" s="1679"/>
      <c r="E75" s="578"/>
      <c r="F75" s="579" t="s">
        <v>1734</v>
      </c>
      <c r="G75" s="580"/>
      <c r="H75" s="581"/>
      <c r="I75" s="581"/>
      <c r="J75" s="4403"/>
      <c r="K75" s="4404"/>
      <c r="L75" s="4405"/>
      <c r="M75" s="1682"/>
      <c r="N75" s="1682"/>
      <c r="O75" s="1682"/>
      <c r="T75" s="1682"/>
      <c r="W75" s="552"/>
      <c r="AC75" s="1678"/>
      <c r="AD75" s="1678"/>
      <c r="AE75" s="1678"/>
      <c r="AF75" s="1678"/>
      <c r="AG75" s="1678"/>
    </row>
    <row s="3159" customFormat="1" customHeight="1" ht="18.75" hidden="1">
      <c r="A76" s="1002" t="s">
        <v>1735</v>
      </c>
      <c r="C76" s="1682"/>
      <c r="D76" s="1684"/>
      <c r="E76" s="554" t="str">
        <f>FHD_NUM_P_34</f>
        <v/>
      </c>
      <c r="F76" s="715" t="str">
        <f>FHD_P_34</f>
        <v/>
      </c>
      <c r="G76" s="1692" t="s">
        <v>1718</v>
      </c>
      <c r="H76" s="565"/>
      <c r="I76" s="565"/>
      <c r="J76" s="4358"/>
      <c r="K76" s="4358"/>
      <c r="L76" s="4358"/>
      <c r="M76" s="551"/>
      <c r="N76" s="1682"/>
      <c r="O76" s="1682"/>
      <c r="T76" s="1682"/>
      <c r="W76" s="552"/>
      <c r="AC76" s="1678"/>
      <c r="AD76" s="1678"/>
      <c r="AE76" s="1678"/>
      <c r="AF76" s="1678"/>
      <c r="AG76" s="1678"/>
    </row>
    <row s="3159" customFormat="1" customHeight="1" ht="44.166666666666664">
      <c r="A77" s="1000"/>
      <c r="C77" s="1682"/>
      <c r="D77" s="583"/>
      <c r="E77" s="554" t="str">
        <f>FHD_NUM_P_35</f>
        <v>3</v>
      </c>
      <c r="F77" s="715" t="str">
        <f>FHD_P_35</f>
        <v>Чистая прибыль, полученная от регулируемого вида деятельности в сфере водоотведения, в том числе:</v>
      </c>
      <c r="G77" s="1692" t="s">
        <v>1718</v>
      </c>
      <c r="H77" s="565"/>
      <c r="I77" s="565">
        <v>0</v>
      </c>
      <c r="J77" s="4358">
        <v>0</v>
      </c>
      <c r="K77" s="4358">
        <v>3787.8</v>
      </c>
      <c r="L77" s="4358"/>
      <c r="M77" s="551"/>
      <c r="N77" s="1682"/>
      <c r="O77" s="1682"/>
      <c r="T77" s="1682"/>
      <c r="W77" s="552"/>
      <c r="AC77" s="1678"/>
      <c r="AD77" s="1678"/>
      <c r="AE77" s="1678"/>
      <c r="AF77" s="1678"/>
      <c r="AG77" s="1678"/>
    </row>
    <row s="3159" customFormat="1" customHeight="1" ht="34.166666666666664">
      <c r="A78" s="1000"/>
      <c r="C78" s="1682"/>
      <c r="D78" s="1684"/>
      <c r="E78" s="554" t="str">
        <f>FHD_NUM_P_36</f>
        <v>3.1</v>
      </c>
      <c r="F78"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8" s="1692" t="s">
        <v>1718</v>
      </c>
      <c r="H78" s="565"/>
      <c r="I78" s="565">
        <v>0</v>
      </c>
      <c r="J78" s="4358">
        <v>0</v>
      </c>
      <c r="K78" s="4358">
        <v>0</v>
      </c>
      <c r="L78" s="4358"/>
      <c r="M78" s="551"/>
      <c r="N78" s="1682"/>
      <c r="O78" s="1682"/>
      <c r="T78" s="1682"/>
      <c r="W78" s="552"/>
      <c r="AC78" s="1678"/>
      <c r="AD78" s="1678"/>
      <c r="AE78" s="1678"/>
      <c r="AF78" s="1678"/>
      <c r="AG78" s="1678"/>
    </row>
    <row s="3159" customFormat="1" customHeight="1" ht="33.333333333333336">
      <c r="A79" s="1000"/>
      <c r="C79" s="1682"/>
      <c r="D79" s="1684"/>
      <c r="E79" s="554" t="str">
        <f>FHD_NUM_P_37</f>
        <v>4</v>
      </c>
      <c r="F79" s="715" t="str">
        <f>FHD_P_37</f>
        <v>Изменение стоимости основных фондов, в том числе:</v>
      </c>
      <c r="G79" s="1692" t="s">
        <v>1718</v>
      </c>
      <c r="H79" s="565"/>
      <c r="I79" s="565">
        <v>648208.5</v>
      </c>
      <c r="J79" s="4358">
        <v>37513.5</v>
      </c>
      <c r="K79" s="4358">
        <v>0</v>
      </c>
      <c r="L79" s="4358"/>
      <c r="M79" s="551"/>
      <c r="N79" s="1682"/>
      <c r="O79" s="1682"/>
      <c r="T79" s="1682"/>
      <c r="W79" s="552"/>
      <c r="AC79" s="1678"/>
      <c r="AD79" s="1678"/>
      <c r="AE79" s="1678"/>
      <c r="AF79" s="1678"/>
      <c r="AG79" s="1678"/>
    </row>
    <row s="3159" customFormat="1" customHeight="1" ht="35.833333333333336">
      <c r="A80" s="1000"/>
      <c r="C80" s="1682"/>
      <c r="D80" s="1684"/>
      <c r="E80" s="554" t="str">
        <f>FHD_NUM_P_38</f>
        <v>4.1</v>
      </c>
      <c r="F80" s="967" t="str">
        <f>FHD_P_38</f>
        <v>Изменение стоимости основных фондов за счет их ввода в эксплуатацию (вывода из эксплуатации)</v>
      </c>
      <c r="G80" s="1692" t="s">
        <v>1718</v>
      </c>
      <c r="H80" s="565"/>
      <c r="I80" s="565">
        <v>648208.5</v>
      </c>
      <c r="J80" s="4358">
        <v>37513.5</v>
      </c>
      <c r="K80" s="4358">
        <v>0</v>
      </c>
      <c r="L80" s="4358"/>
      <c r="M80" s="551"/>
      <c r="N80" s="1682"/>
      <c r="O80" s="1682"/>
      <c r="T80" s="1682"/>
      <c r="W80" s="552"/>
      <c r="AC80" s="1678"/>
      <c r="AD80" s="1678"/>
      <c r="AE80" s="1678"/>
      <c r="AF80" s="1678"/>
      <c r="AG80" s="1678"/>
    </row>
    <row s="3159" customFormat="1" customHeight="1" ht="30.83333333333333">
      <c r="A81" s="1000"/>
      <c r="C81" s="1682"/>
      <c r="D81" s="1684"/>
      <c r="E81" s="554" t="str">
        <f>FHD_NUM_P_39</f>
        <v>4.1.1</v>
      </c>
      <c r="F81" s="1696" t="str">
        <f>FHD_P_39</f>
        <v>Изменение стоимости основных фондов за счет их ввода в эксплуатацию</v>
      </c>
      <c r="G81" s="1692" t="s">
        <v>1718</v>
      </c>
      <c r="H81" s="565"/>
      <c r="I81" s="565">
        <v>649575.4</v>
      </c>
      <c r="J81" s="4358">
        <v>37592.6</v>
      </c>
      <c r="K81" s="4358">
        <v>0</v>
      </c>
      <c r="L81" s="4358"/>
      <c r="M81" s="551"/>
      <c r="N81" s="1682"/>
      <c r="O81" s="1682"/>
      <c r="T81" s="1682"/>
      <c r="W81" s="552"/>
      <c r="AC81" s="1678"/>
      <c r="AD81" s="1678"/>
      <c r="AE81" s="1678"/>
      <c r="AF81" s="1678"/>
      <c r="AG81" s="1678"/>
    </row>
    <row s="3159" customFormat="1" customHeight="1" ht="28.333333333333332">
      <c r="A82" s="1000"/>
      <c r="C82" s="1682"/>
      <c r="D82" s="1684"/>
      <c r="E82" s="554" t="str">
        <f>FHD_NUM_P_40</f>
        <v>4.1.2</v>
      </c>
      <c r="F82" s="1696" t="str">
        <f>FHD_P_40</f>
        <v>Изменение стоимости основных фондов за счет их вывода в эксплуатацию</v>
      </c>
      <c r="G82" s="1692" t="s">
        <v>1718</v>
      </c>
      <c r="H82" s="565"/>
      <c r="I82" s="565">
        <v>1366.9</v>
      </c>
      <c r="J82" s="4358">
        <v>79.1</v>
      </c>
      <c r="K82" s="4358">
        <v>0</v>
      </c>
      <c r="L82" s="4358"/>
      <c r="M82" s="551"/>
      <c r="N82" s="1682"/>
      <c r="O82" s="1682"/>
      <c r="T82" s="1682"/>
      <c r="W82" s="552"/>
      <c r="AC82" s="1678"/>
      <c r="AD82" s="1678"/>
      <c r="AE82" s="1678"/>
      <c r="AF82" s="1678"/>
      <c r="AG82" s="1678"/>
    </row>
    <row s="3159" customFormat="1" customHeight="1" ht="18.75">
      <c r="A83" s="1000"/>
      <c r="C83" s="1682"/>
      <c r="D83" s="1684"/>
      <c r="E83" s="554" t="str">
        <f>FHD_NUM_P_41</f>
        <v>4.2</v>
      </c>
      <c r="F83" s="967" t="str">
        <f>FHD_P_41</f>
        <v>Изменение стоимости основных фондов за счет их переоценки</v>
      </c>
      <c r="G83" s="1690" t="s">
        <v>1718</v>
      </c>
      <c r="H83" s="565"/>
      <c r="I83" s="565">
        <v>0</v>
      </c>
      <c r="J83" s="4358">
        <v>0</v>
      </c>
      <c r="K83" s="4358">
        <v>0</v>
      </c>
      <c r="L83" s="4358"/>
      <c r="M83" s="551"/>
      <c r="N83" s="1682"/>
      <c r="O83" s="1682"/>
      <c r="T83" s="1682"/>
      <c r="W83" s="552"/>
      <c r="AC83" s="1678"/>
      <c r="AD83" s="1678"/>
      <c r="AE83" s="1678"/>
      <c r="AF83" s="1678"/>
      <c r="AG83" s="1678"/>
    </row>
    <row s="3159" customFormat="1" customHeight="1" ht="27.5">
      <c r="A84" s="1002" t="s">
        <v>1736</v>
      </c>
      <c r="C84" s="1682"/>
      <c r="D84" s="1684"/>
      <c r="E84" s="554" t="str">
        <f>FHD_NUM_P_42</f>
        <v>5</v>
      </c>
      <c r="F84" s="715" t="str">
        <f>FHD_P_42</f>
        <v>Валовая прибыль (убытки) от продажи товаров и услуг по регулируемым видам деятельности в сфере водоотведения</v>
      </c>
      <c r="G84" s="1692" t="s">
        <v>1718</v>
      </c>
      <c r="H84" s="989"/>
      <c r="I84" s="565">
        <v>0</v>
      </c>
      <c r="J84" s="4407">
        <v>0</v>
      </c>
      <c r="K84" s="4407">
        <v>3787.8</v>
      </c>
      <c r="L84" s="4407"/>
      <c r="M84" s="551"/>
      <c r="N84" s="1682"/>
      <c r="O84" s="1682"/>
      <c r="T84" s="1682"/>
      <c r="W84" s="552"/>
      <c r="AC84" s="1678"/>
      <c r="AD84" s="1678"/>
      <c r="AE84" s="1678"/>
      <c r="AF84" s="1678"/>
      <c r="AG84" s="1678"/>
    </row>
    <row s="3159" customFormat="1" customHeight="1" ht="33.333333333333336">
      <c r="A85" s="1000"/>
      <c r="C85" s="1682"/>
      <c r="D85" s="1684"/>
      <c r="E85" s="554" t="str">
        <f>FHD_NUM_P_43</f>
        <v>6</v>
      </c>
      <c r="F85" s="715" t="str">
        <f>FHD_P_43</f>
        <v>Годовая бухгалтерская (финансовая) отчетность, включая бухгалтерский баланс и приложения к нему</v>
      </c>
      <c r="G85" s="1692" t="s">
        <v>299</v>
      </c>
      <c r="H85" s="1068"/>
      <c r="I85" s="828" t="s">
        <v>1737</v>
      </c>
      <c r="J85" s="4409" t="s">
        <v>1737</v>
      </c>
      <c r="K85" s="4410" t="s">
        <v>1737</v>
      </c>
      <c r="L85" s="4410"/>
      <c r="M85" s="551"/>
      <c r="N85" s="1682"/>
      <c r="O85" s="1682"/>
      <c r="T85" s="1682"/>
      <c r="W85" s="552"/>
      <c r="AC85" s="1678"/>
      <c r="AD85" s="1678"/>
      <c r="AE85" s="1678"/>
      <c r="AF85" s="1678"/>
      <c r="AG85" s="1678"/>
    </row>
    <row s="4411" customFormat="1" customHeight="1" ht="18.75" hidden="1">
      <c r="A86" s="2337" t="s">
        <v>1738</v>
      </c>
      <c r="C86" s="744"/>
      <c r="D86" s="742"/>
      <c r="E86" s="554" t="str">
        <f>FHD_NUM_P_44</f>
        <v/>
      </c>
      <c r="F86" s="715" t="str">
        <f>FHD_P_44</f>
        <v/>
      </c>
      <c r="G86" s="729" t="s">
        <v>1739</v>
      </c>
      <c r="H86" s="990"/>
      <c r="I86" s="585"/>
      <c r="J86" s="4416"/>
      <c r="K86" s="4416"/>
      <c r="L86" s="4416"/>
      <c r="M86" s="743"/>
      <c r="N86" s="744"/>
      <c r="O86" s="744"/>
      <c r="T86" s="744"/>
      <c r="W86" s="745"/>
      <c r="AC86" s="746"/>
      <c r="AD86" s="746"/>
      <c r="AE86" s="746"/>
      <c r="AF86" s="746"/>
      <c r="AG86" s="746"/>
    </row>
    <row s="4411" customFormat="1" customHeight="1" ht="18.75" hidden="1">
      <c r="A87" s="2337"/>
      <c r="C87" s="744"/>
      <c r="D87" s="742"/>
      <c r="E87" s="554" t="str">
        <f>FHD_NUM_P_45</f>
        <v/>
      </c>
      <c r="F87" s="715" t="str">
        <f>FHD_P_45</f>
        <v/>
      </c>
      <c r="G87" s="729" t="s">
        <v>1739</v>
      </c>
      <c r="H87" s="990"/>
      <c r="I87" s="585"/>
      <c r="J87" s="4416"/>
      <c r="K87" s="4416"/>
      <c r="L87" s="4416"/>
      <c r="M87" s="743"/>
      <c r="N87" s="744"/>
      <c r="O87" s="744"/>
      <c r="T87" s="744"/>
      <c r="W87" s="745"/>
      <c r="AC87" s="746"/>
      <c r="AD87" s="746"/>
      <c r="AE87" s="746"/>
      <c r="AF87" s="746"/>
      <c r="AG87" s="746"/>
    </row>
    <row s="4411" customFormat="1" customHeight="1" ht="18.75" hidden="1">
      <c r="A88" s="2337"/>
      <c r="C88" s="744"/>
      <c r="D88" s="747"/>
      <c r="E88" s="554" t="str">
        <f>FHD_NUM_P_46</f>
        <v/>
      </c>
      <c r="F88" s="715" t="str">
        <f>FHD_P_46</f>
        <v/>
      </c>
      <c r="G88" s="729" t="s">
        <v>1739</v>
      </c>
      <c r="H88" s="990"/>
      <c r="I88" s="585"/>
      <c r="J88" s="4416"/>
      <c r="K88" s="4416"/>
      <c r="L88" s="4416"/>
      <c r="M88" s="743"/>
      <c r="N88" s="744"/>
      <c r="O88" s="744"/>
      <c r="T88" s="744"/>
      <c r="W88" s="745"/>
      <c r="AC88" s="746"/>
      <c r="AD88" s="746"/>
      <c r="AE88" s="746"/>
      <c r="AF88" s="746"/>
      <c r="AG88" s="746"/>
    </row>
    <row s="4411" customFormat="1" customHeight="1" ht="18.75" hidden="1">
      <c r="A89" s="2337"/>
      <c r="C89" s="744"/>
      <c r="D89" s="742"/>
      <c r="E89" s="554" t="str">
        <f>FHD_NUM_P_47</f>
        <v/>
      </c>
      <c r="F89" s="715" t="str">
        <f>FHD_P_47</f>
        <v/>
      </c>
      <c r="G89" s="729" t="s">
        <v>1739</v>
      </c>
      <c r="H89" s="990"/>
      <c r="I89" s="585"/>
      <c r="J89" s="4416"/>
      <c r="K89" s="4416"/>
      <c r="L89" s="4416"/>
      <c r="M89" s="743"/>
      <c r="N89" s="744"/>
      <c r="O89" s="744"/>
      <c r="T89" s="744"/>
      <c r="W89" s="745"/>
      <c r="AC89" s="746"/>
      <c r="AD89" s="746"/>
      <c r="AE89" s="746"/>
      <c r="AF89" s="746"/>
      <c r="AG89" s="746"/>
    </row>
    <row s="4421" customFormat="1" customHeight="1" ht="18.75" hidden="1">
      <c r="A90" s="2337"/>
      <c r="B90" s="922"/>
      <c r="C90" s="744"/>
      <c r="D90" s="742"/>
      <c r="E90" s="554" t="str">
        <f>FHD_NUM_P_48</f>
        <v/>
      </c>
      <c r="F90" s="715" t="str">
        <f>FHD_P_48</f>
        <v/>
      </c>
      <c r="G90" s="729" t="s">
        <v>1739</v>
      </c>
      <c r="H90" s="990"/>
      <c r="I90" s="585"/>
      <c r="J90" s="4416"/>
      <c r="K90" s="4416"/>
      <c r="L90" s="4416"/>
      <c r="M90" s="743"/>
      <c r="N90" s="744"/>
      <c r="O90" s="744"/>
      <c r="P90" s="922"/>
      <c r="Q90" s="922"/>
      <c r="R90" s="922"/>
      <c r="S90" s="922"/>
      <c r="T90" s="744"/>
      <c r="U90" s="922"/>
      <c r="V90" s="922"/>
      <c r="W90" s="745"/>
      <c r="X90" s="922"/>
      <c r="Y90" s="922"/>
      <c r="Z90" s="922"/>
      <c r="AA90" s="922"/>
      <c r="AB90" s="922"/>
      <c r="AC90" s="746"/>
      <c r="AD90" s="746"/>
      <c r="AE90" s="746"/>
      <c r="AF90" s="746"/>
      <c r="AG90" s="746"/>
    </row>
    <row s="4421" customFormat="1" customHeight="1" ht="18.75" hidden="1">
      <c r="A91" s="2337"/>
      <c r="B91" s="922"/>
      <c r="C91" s="744"/>
      <c r="D91" s="742"/>
      <c r="E91" s="554" t="str">
        <f>FHD_NUM_P_49</f>
        <v/>
      </c>
      <c r="F91" s="715" t="str">
        <f>FHD_P_49</f>
        <v/>
      </c>
      <c r="G91" s="729" t="s">
        <v>1739</v>
      </c>
      <c r="H91" s="991">
        <f>SUM(H92:H93)</f>
        <v>0</v>
      </c>
      <c r="I91" s="758">
        <f>SUM(I92:I93)</f>
        <v>0</v>
      </c>
      <c r="J91" s="4424">
        <f>SUM(J92:J93)</f>
        <v>0</v>
      </c>
      <c r="K91" s="4424">
        <f>SUM(K92:K93)</f>
        <v>0</v>
      </c>
      <c r="L91" s="4424">
        <f>SUM(L92:L93)</f>
        <v>0</v>
      </c>
      <c r="M91" s="743"/>
      <c r="N91" s="744"/>
      <c r="O91" s="744"/>
      <c r="P91" s="922"/>
      <c r="Q91" s="922"/>
      <c r="R91" s="922"/>
      <c r="S91" s="922"/>
      <c r="T91" s="744"/>
      <c r="U91" s="922"/>
      <c r="V91" s="922"/>
      <c r="W91" s="745"/>
      <c r="X91" s="922"/>
      <c r="Y91" s="922"/>
      <c r="Z91" s="922"/>
      <c r="AA91" s="922"/>
      <c r="AB91" s="922"/>
      <c r="AC91" s="746"/>
      <c r="AD91" s="746"/>
      <c r="AE91" s="746"/>
      <c r="AF91" s="746"/>
      <c r="AG91" s="746"/>
    </row>
    <row s="4421" customFormat="1" customHeight="1" ht="18.75" hidden="1">
      <c r="A92" s="2337"/>
      <c r="B92" s="922"/>
      <c r="C92" s="744"/>
      <c r="D92" s="742"/>
      <c r="E92" s="554" t="str">
        <f>FHD_NUM_P_50</f>
        <v/>
      </c>
      <c r="F92" s="715" t="str">
        <f>FHD_P_50</f>
        <v/>
      </c>
      <c r="G92" s="729" t="s">
        <v>1739</v>
      </c>
      <c r="H92" s="990"/>
      <c r="I92" s="585"/>
      <c r="J92" s="4416"/>
      <c r="K92" s="4416"/>
      <c r="L92" s="4416"/>
      <c r="M92" s="743"/>
      <c r="N92" s="744"/>
      <c r="O92" s="744"/>
      <c r="P92" s="922"/>
      <c r="Q92" s="922"/>
      <c r="R92" s="922"/>
      <c r="S92" s="922"/>
      <c r="T92" s="744"/>
      <c r="U92" s="922"/>
      <c r="V92" s="922"/>
      <c r="W92" s="745"/>
      <c r="X92" s="922"/>
      <c r="Y92" s="922"/>
      <c r="Z92" s="922"/>
      <c r="AA92" s="922"/>
      <c r="AB92" s="922"/>
      <c r="AC92" s="746"/>
      <c r="AD92" s="746"/>
      <c r="AE92" s="746"/>
      <c r="AF92" s="746"/>
      <c r="AG92" s="746"/>
    </row>
    <row s="4421" customFormat="1" customHeight="1" ht="18.75" hidden="1">
      <c r="A93" s="2337"/>
      <c r="B93" s="922"/>
      <c r="C93" s="744"/>
      <c r="D93" s="742"/>
      <c r="E93" s="554" t="str">
        <f>FHD_NUM_P_51</f>
        <v/>
      </c>
      <c r="F93" s="715" t="str">
        <f>FHD_P_51</f>
        <v/>
      </c>
      <c r="G93" s="729" t="s">
        <v>1739</v>
      </c>
      <c r="H93" s="990"/>
      <c r="I93" s="585"/>
      <c r="J93" s="4416"/>
      <c r="K93" s="4416"/>
      <c r="L93" s="4416"/>
      <c r="M93" s="743"/>
      <c r="N93" s="744"/>
      <c r="O93" s="744"/>
      <c r="P93" s="922"/>
      <c r="Q93" s="922"/>
      <c r="R93" s="922"/>
      <c r="S93" s="922"/>
      <c r="T93" s="744"/>
      <c r="U93" s="922"/>
      <c r="V93" s="922"/>
      <c r="W93" s="745"/>
      <c r="X93" s="922"/>
      <c r="Y93" s="922"/>
      <c r="Z93" s="922"/>
      <c r="AA93" s="922"/>
      <c r="AB93" s="922"/>
      <c r="AC93" s="746"/>
      <c r="AD93" s="746"/>
      <c r="AE93" s="746"/>
      <c r="AF93" s="746"/>
      <c r="AG93" s="746"/>
    </row>
    <row s="4421" customFormat="1" customHeight="1" ht="18.75" hidden="1">
      <c r="A94" s="2337"/>
      <c r="B94" s="922"/>
      <c r="C94" s="744"/>
      <c r="D94" s="742"/>
      <c r="E94" s="554" t="str">
        <f>FHD_NUM_P_52</f>
        <v/>
      </c>
      <c r="F94" s="715" t="str">
        <f>FHD_P_52</f>
        <v/>
      </c>
      <c r="G94" s="729" t="s">
        <v>1634</v>
      </c>
      <c r="H94" s="989"/>
      <c r="I94" s="565"/>
      <c r="J94" s="4407"/>
      <c r="K94" s="4407"/>
      <c r="L94" s="4407"/>
      <c r="M94" s="743"/>
      <c r="N94" s="744"/>
      <c r="O94" s="744"/>
      <c r="P94" s="922"/>
      <c r="Q94" s="922"/>
      <c r="R94" s="922"/>
      <c r="S94" s="922"/>
      <c r="T94" s="744"/>
      <c r="U94" s="922"/>
      <c r="V94" s="922"/>
      <c r="W94" s="745"/>
      <c r="X94" s="922"/>
      <c r="Y94" s="922"/>
      <c r="Z94" s="922"/>
      <c r="AA94" s="922"/>
      <c r="AB94" s="922"/>
      <c r="AC94" s="746"/>
      <c r="AD94" s="746"/>
      <c r="AE94" s="746"/>
      <c r="AF94" s="746"/>
      <c r="AG94" s="746"/>
    </row>
    <row s="4411" customFormat="1" customHeight="1" ht="18.75" hidden="1">
      <c r="A95" s="2339" t="s">
        <v>1740</v>
      </c>
      <c r="C95" s="744"/>
      <c r="D95" s="742"/>
      <c r="E95" s="554" t="str">
        <f>FHD_NUM_P_53</f>
        <v/>
      </c>
      <c r="F95" s="715" t="str">
        <f>FHD_P_53</f>
        <v/>
      </c>
      <c r="G95" s="729" t="s">
        <v>1739</v>
      </c>
      <c r="H95" s="990"/>
      <c r="I95" s="585"/>
      <c r="J95" s="4416"/>
      <c r="K95" s="4416"/>
      <c r="L95" s="4416"/>
      <c r="M95" s="743"/>
      <c r="N95" s="744"/>
      <c r="O95" s="744"/>
      <c r="T95" s="744"/>
      <c r="W95" s="745"/>
      <c r="AC95" s="746"/>
      <c r="AD95" s="746"/>
      <c r="AE95" s="746"/>
      <c r="AF95" s="746"/>
      <c r="AG95" s="746"/>
    </row>
    <row s="4411" customFormat="1" customHeight="1" ht="18.75" hidden="1">
      <c r="A96" s="2339"/>
      <c r="C96" s="744"/>
      <c r="D96" s="742"/>
      <c r="E96" s="554" t="str">
        <f>FHD_NUM_P_54</f>
        <v/>
      </c>
      <c r="F96" s="715" t="str">
        <f>FHD_P_54</f>
        <v/>
      </c>
      <c r="G96" s="729" t="s">
        <v>1739</v>
      </c>
      <c r="H96" s="990"/>
      <c r="I96" s="585"/>
      <c r="J96" s="4416"/>
      <c r="K96" s="4416"/>
      <c r="L96" s="4416"/>
      <c r="M96" s="743"/>
      <c r="N96" s="744"/>
      <c r="O96" s="744"/>
      <c r="T96" s="744"/>
      <c r="W96" s="745"/>
      <c r="AC96" s="746"/>
      <c r="AD96" s="746"/>
      <c r="AE96" s="746"/>
      <c r="AF96" s="746"/>
      <c r="AG96" s="746"/>
    </row>
    <row s="4411" customFormat="1" customHeight="1" ht="18.75" hidden="1">
      <c r="A97" s="2339"/>
      <c r="C97" s="744"/>
      <c r="D97" s="747"/>
      <c r="E97" s="554" t="str">
        <f>FHD_NUM_P_55</f>
        <v/>
      </c>
      <c r="F97" s="715" t="str">
        <f>FHD_P_55</f>
        <v/>
      </c>
      <c r="G97" s="901"/>
      <c r="H97" s="990"/>
      <c r="I97" s="585"/>
      <c r="J97" s="4416"/>
      <c r="K97" s="4416"/>
      <c r="L97" s="4416"/>
      <c r="M97" s="743"/>
      <c r="N97" s="744"/>
      <c r="O97" s="744"/>
      <c r="T97" s="744"/>
      <c r="W97" s="745"/>
      <c r="AC97" s="746"/>
      <c r="AD97" s="746"/>
      <c r="AE97" s="746"/>
      <c r="AF97" s="746"/>
      <c r="AG97" s="746"/>
    </row>
    <row s="4411" customFormat="1" customHeight="1" ht="18.75" hidden="1">
      <c r="A98" s="2339"/>
      <c r="C98" s="744"/>
      <c r="D98" s="742"/>
      <c r="E98" s="554" t="str">
        <f>FHD_NUM_P_56</f>
        <v/>
      </c>
      <c r="F98" s="715" t="str">
        <f>FHD_P_56</f>
        <v/>
      </c>
      <c r="G98" s="729" t="s">
        <v>849</v>
      </c>
      <c r="H98" s="990"/>
      <c r="I98" s="585"/>
      <c r="J98" s="4416"/>
      <c r="K98" s="4416"/>
      <c r="L98" s="4416"/>
      <c r="M98" s="743"/>
      <c r="N98" s="744"/>
      <c r="O98" s="744"/>
      <c r="T98" s="744"/>
      <c r="W98" s="745"/>
      <c r="AC98" s="746"/>
      <c r="AD98" s="746"/>
      <c r="AE98" s="746"/>
      <c r="AF98" s="746"/>
      <c r="AG98" s="746"/>
    </row>
    <row s="4421" customFormat="1" customHeight="1" ht="18.75" hidden="1">
      <c r="A99" s="2339"/>
      <c r="B99" s="922"/>
      <c r="C99" s="744"/>
      <c r="D99" s="742"/>
      <c r="E99" s="554" t="str">
        <f>FHD_NUM_P_57</f>
        <v/>
      </c>
      <c r="F99" s="715" t="str">
        <f>FHD_P_57</f>
        <v/>
      </c>
      <c r="G99" s="729" t="s">
        <v>1634</v>
      </c>
      <c r="H99" s="989"/>
      <c r="I99" s="565"/>
      <c r="J99" s="4407"/>
      <c r="K99" s="4407"/>
      <c r="L99" s="4407"/>
      <c r="M99" s="743"/>
      <c r="N99" s="744"/>
      <c r="O99" s="744"/>
      <c r="P99" s="922"/>
      <c r="Q99" s="922"/>
      <c r="R99" s="922"/>
      <c r="S99" s="922"/>
      <c r="T99" s="744"/>
      <c r="U99" s="922"/>
      <c r="V99" s="922"/>
      <c r="W99" s="745"/>
      <c r="X99" s="922"/>
      <c r="Y99" s="922"/>
      <c r="Z99" s="922"/>
      <c r="AA99" s="922"/>
      <c r="AB99" s="922"/>
      <c r="AC99" s="746"/>
      <c r="AD99" s="746"/>
      <c r="AE99" s="746"/>
      <c r="AF99" s="746"/>
      <c r="AG99" s="746"/>
    </row>
    <row customHeight="1" ht="40.833333333333336">
      <c r="A100" s="2337" t="s">
        <v>1741</v>
      </c>
      <c r="D100" s="1684"/>
      <c r="E100" s="554" t="str">
        <f>FHD_NUM_P_58</f>
        <v>7</v>
      </c>
      <c r="F100" s="715" t="str">
        <f>FHD_P_58</f>
        <v>Объём сточных вод, принятых от потребителей</v>
      </c>
      <c r="G100" s="729" t="s">
        <v>1739</v>
      </c>
      <c r="H100" s="990"/>
      <c r="I100" s="585">
        <v>9251.4</v>
      </c>
      <c r="J100" s="4416">
        <v>1714.3</v>
      </c>
      <c r="K100" s="4416">
        <v>0</v>
      </c>
      <c r="L100" s="4416"/>
      <c r="M100" s="551"/>
    </row>
    <row customHeight="1" ht="40.833333333333336">
      <c r="A101" s="2337"/>
      <c r="D101" s="1684"/>
      <c r="E101" s="554" t="str">
        <f>FHD_NUM_P_59</f>
        <v>8</v>
      </c>
      <c r="F101" s="715" t="str">
        <f>FHD_P_59</f>
        <v>Объём сточных вод, принятых от других регулируемых организаций, осуществляющих водоотведение и (или) очистку сточных вод</v>
      </c>
      <c r="G101" s="729" t="s">
        <v>1739</v>
      </c>
      <c r="H101" s="990"/>
      <c r="I101" s="585">
        <v>0</v>
      </c>
      <c r="J101" s="4416">
        <v>0</v>
      </c>
      <c r="K101" s="4416">
        <v>0</v>
      </c>
      <c r="L101" s="4416"/>
      <c r="M101" s="551"/>
    </row>
    <row customHeight="1" ht="27.5">
      <c r="A102" s="2337"/>
      <c r="D102" s="1684"/>
      <c r="E102" s="554" t="str">
        <f>FHD_NUM_P_60</f>
        <v>9</v>
      </c>
      <c r="F102" s="715" t="str">
        <f>FHD_P_60</f>
        <v>Объём сточных вод, пропущенных через очистные сооружения</v>
      </c>
      <c r="G102" s="729" t="s">
        <v>1739</v>
      </c>
      <c r="H102" s="990"/>
      <c r="I102" s="585">
        <v>9251.4</v>
      </c>
      <c r="J102" s="4416">
        <v>1714.3</v>
      </c>
      <c r="K102" s="4416">
        <v>0</v>
      </c>
      <c r="L102" s="4416"/>
      <c r="M102" s="551"/>
    </row>
    <row s="3159" customFormat="1" customHeight="1" ht="18.75" hidden="1">
      <c r="A103" s="2337" t="s">
        <v>1742</v>
      </c>
      <c r="C103" s="1682"/>
      <c r="D103" s="1684"/>
      <c r="E103" s="554" t="str">
        <f>FHD_NUM_P_61</f>
        <v/>
      </c>
      <c r="F103" s="715" t="str">
        <f>FHD_P_61</f>
        <v/>
      </c>
      <c r="G103" s="1692" t="s">
        <v>633</v>
      </c>
      <c r="H103" s="992"/>
      <c r="I103" s="751"/>
      <c r="J103" s="4429"/>
      <c r="K103" s="4429"/>
      <c r="L103" s="4429"/>
      <c r="M103" s="551"/>
      <c r="N103" s="1682"/>
      <c r="O103" s="1682"/>
      <c r="T103" s="1682"/>
      <c r="W103" s="552"/>
      <c r="AC103" s="1678"/>
      <c r="AD103" s="1678"/>
      <c r="AE103" s="1678"/>
      <c r="AF103" s="1678"/>
      <c r="AG103" s="1678"/>
    </row>
    <row s="3165" customFormat="1" customHeight="1" ht="0.75" hidden="1">
      <c r="A104" s="2337"/>
      <c r="D104" s="556"/>
      <c r="E104" s="812" t="str">
        <f>E103&amp;".0"</f>
        <v>.0</v>
      </c>
      <c r="F104" s="1007"/>
      <c r="G104" s="1008"/>
      <c r="H104" s="1005"/>
      <c r="I104" s="1005"/>
      <c r="J104" s="4397"/>
      <c r="K104" s="4397"/>
      <c r="L104" s="4397"/>
    </row>
    <row customHeight="1" ht="15" hidden="1">
      <c r="A105" s="2337"/>
      <c r="D105" s="1679"/>
      <c r="E105" s="984"/>
      <c r="F105" s="985" t="s">
        <v>1573</v>
      </c>
      <c r="G105" s="580"/>
      <c r="H105" s="581"/>
      <c r="I105" s="581"/>
      <c r="J105" s="4434"/>
      <c r="K105" s="4435"/>
      <c r="L105" s="4436"/>
      <c r="M105" s="551"/>
    </row>
    <row s="3159" customFormat="1" customHeight="1" ht="18.75" hidden="1">
      <c r="A106" s="2337"/>
      <c r="C106" s="1682"/>
      <c r="D106" s="1684"/>
      <c r="E106" s="554" t="str">
        <f>FHD_NUM_P_62</f>
        <v/>
      </c>
      <c r="F106" s="715" t="str">
        <f>FHD_P_62</f>
        <v/>
      </c>
      <c r="G106" s="1689" t="s">
        <v>633</v>
      </c>
      <c r="H106" s="565"/>
      <c r="I106" s="565"/>
      <c r="J106" s="4358"/>
      <c r="K106" s="4358"/>
      <c r="L106" s="4358"/>
      <c r="M106" s="551"/>
      <c r="N106" s="1682"/>
      <c r="O106" s="1682"/>
      <c r="T106" s="1682"/>
      <c r="W106" s="552"/>
      <c r="AC106" s="1678"/>
      <c r="AD106" s="1678"/>
      <c r="AE106" s="1678"/>
      <c r="AF106" s="1678"/>
      <c r="AG106" s="1678"/>
    </row>
    <row s="3159" customFormat="1" customHeight="1" ht="18.75" hidden="1">
      <c r="A107" s="2337"/>
      <c r="C107" s="1682"/>
      <c r="D107" s="1684"/>
      <c r="E107" s="554" t="str">
        <f>FHD_NUM_P_63</f>
        <v/>
      </c>
      <c r="F107" s="715" t="str">
        <f>FHD_P_63</f>
        <v/>
      </c>
      <c r="G107" s="1689" t="s">
        <v>849</v>
      </c>
      <c r="H107" s="585"/>
      <c r="I107" s="585"/>
      <c r="J107" s="4385"/>
      <c r="K107" s="4385"/>
      <c r="L107" s="4385"/>
      <c r="M107" s="551"/>
      <c r="N107" s="1682"/>
      <c r="O107" s="1682"/>
      <c r="T107" s="1682"/>
      <c r="W107" s="552"/>
      <c r="AC107" s="1678"/>
      <c r="AD107" s="1678"/>
      <c r="AE107" s="1678"/>
      <c r="AF107" s="1678"/>
      <c r="AG107" s="1678"/>
    </row>
    <row s="3159" customFormat="1" customHeight="1" ht="18.75" hidden="1">
      <c r="A108" s="2337"/>
      <c r="C108" s="1682" t="s">
        <v>1743</v>
      </c>
      <c r="D108" s="1684"/>
      <c r="E108" s="554" t="str">
        <f>FHD_NUM_P_64</f>
        <v/>
      </c>
      <c r="F108" s="715" t="str">
        <f>FHD_P_64</f>
        <v/>
      </c>
      <c r="G108" s="1689" t="s">
        <v>849</v>
      </c>
      <c r="H108" s="553"/>
      <c r="I108" s="553"/>
      <c r="J108" s="4345"/>
      <c r="K108" s="4345"/>
      <c r="L108" s="4345"/>
      <c r="M108" s="551"/>
      <c r="N108" s="1682"/>
      <c r="O108" s="1682"/>
      <c r="T108" s="1682"/>
      <c r="W108" s="552"/>
      <c r="AC108" s="1678"/>
      <c r="AD108" s="1678"/>
      <c r="AE108" s="1678"/>
      <c r="AF108" s="1678"/>
      <c r="AG108" s="1678"/>
    </row>
    <row s="3159" customFormat="1" customHeight="1" ht="18.75" hidden="1">
      <c r="A109" s="2337"/>
      <c r="C109" s="1682"/>
      <c r="D109" s="1684"/>
      <c r="E109" s="554" t="str">
        <f>FHD_NUM_P_65</f>
        <v/>
      </c>
      <c r="F109" s="715" t="str">
        <f>FHD_P_65</f>
        <v/>
      </c>
      <c r="G109" s="1689" t="s">
        <v>849</v>
      </c>
      <c r="H109" s="585"/>
      <c r="I109" s="585"/>
      <c r="J109" s="4385"/>
      <c r="K109" s="4385"/>
      <c r="L109" s="4385"/>
      <c r="M109" s="551"/>
      <c r="N109" s="1682"/>
      <c r="O109" s="1682"/>
      <c r="T109" s="1682"/>
      <c r="W109" s="552"/>
      <c r="AC109" s="1678"/>
      <c r="AD109" s="1678"/>
      <c r="AE109" s="1678"/>
      <c r="AF109" s="1678"/>
      <c r="AG109" s="1678"/>
    </row>
    <row s="3159" customFormat="1" customHeight="1" ht="18.75" hidden="1">
      <c r="A110" s="2337"/>
      <c r="C110" s="1682"/>
      <c r="D110" s="1684"/>
      <c r="E110" s="554" t="str">
        <f>FHD_NUM_P_66</f>
        <v/>
      </c>
      <c r="F110" s="967" t="str">
        <f>FHD_P_66</f>
        <v/>
      </c>
      <c r="G110" s="1689" t="s">
        <v>849</v>
      </c>
      <c r="H110" s="585"/>
      <c r="I110" s="585"/>
      <c r="J110" s="4385"/>
      <c r="K110" s="4385"/>
      <c r="L110" s="4385"/>
      <c r="M110" s="551"/>
      <c r="N110" s="1682"/>
      <c r="O110" s="1682"/>
      <c r="T110" s="1682"/>
      <c r="W110" s="552"/>
      <c r="AC110" s="1678"/>
      <c r="AD110" s="1678"/>
      <c r="AE110" s="1678"/>
      <c r="AF110" s="1678"/>
      <c r="AG110" s="1678"/>
    </row>
    <row s="3159" customFormat="1" customHeight="1" ht="18.75" hidden="1">
      <c r="A111" s="2337"/>
      <c r="C111" s="1682"/>
      <c r="D111" s="1684"/>
      <c r="E111" s="554" t="str">
        <f>FHD_NUM_P_67</f>
        <v/>
      </c>
      <c r="F111" s="1696" t="str">
        <f>FHD_P_67</f>
        <v/>
      </c>
      <c r="G111" s="1689" t="s">
        <v>849</v>
      </c>
      <c r="H111" s="585"/>
      <c r="I111" s="585"/>
      <c r="J111" s="4385"/>
      <c r="K111" s="4385"/>
      <c r="L111" s="4385"/>
      <c r="M111" s="551"/>
      <c r="N111" s="1682"/>
      <c r="O111" s="1682"/>
      <c r="T111" s="1682"/>
      <c r="W111" s="552"/>
      <c r="AC111" s="1678"/>
      <c r="AD111" s="1678"/>
      <c r="AE111" s="1678"/>
      <c r="AF111" s="1678"/>
      <c r="AG111" s="1678"/>
    </row>
    <row s="3159" customFormat="1" customHeight="1" ht="18.75" hidden="1">
      <c r="A112" s="2337"/>
      <c r="C112" s="1682"/>
      <c r="D112" s="1684"/>
      <c r="E112" s="554" t="str">
        <f>FHD_NUM_P_68</f>
        <v/>
      </c>
      <c r="F112" s="967" t="str">
        <f>FHD_P_68</f>
        <v/>
      </c>
      <c r="G112" s="1689" t="s">
        <v>849</v>
      </c>
      <c r="H112" s="585"/>
      <c r="I112" s="585"/>
      <c r="J112" s="4385"/>
      <c r="K112" s="4385"/>
      <c r="L112" s="4385"/>
      <c r="M112" s="551"/>
      <c r="N112" s="1682"/>
      <c r="O112" s="1682"/>
      <c r="T112" s="1682"/>
      <c r="W112" s="552"/>
      <c r="AC112" s="1678"/>
      <c r="AD112" s="1678"/>
      <c r="AE112" s="1678"/>
      <c r="AF112" s="1678"/>
      <c r="AG112" s="1678"/>
    </row>
    <row s="3159" customFormat="1" customHeight="1" ht="18.75" hidden="1">
      <c r="A113" s="2337"/>
      <c r="C113" s="1682"/>
      <c r="D113" s="1684"/>
      <c r="E113" s="554" t="str">
        <f>FHD_NUM_P_69</f>
        <v/>
      </c>
      <c r="F113" s="967" t="str">
        <f>FHD_P_69</f>
        <v/>
      </c>
      <c r="G113" s="1689" t="s">
        <v>849</v>
      </c>
      <c r="H113" s="585"/>
      <c r="I113" s="585"/>
      <c r="J113" s="4385"/>
      <c r="K113" s="4385"/>
      <c r="L113" s="4385"/>
      <c r="M113" s="551"/>
      <c r="N113" s="1682"/>
      <c r="O113" s="1682"/>
      <c r="T113" s="1682"/>
      <c r="W113" s="552"/>
      <c r="AC113" s="1678"/>
      <c r="AD113" s="1678"/>
      <c r="AE113" s="1678"/>
      <c r="AF113" s="1678"/>
      <c r="AG113" s="1678"/>
    </row>
    <row s="3159" customFormat="1" customHeight="1" ht="22.5" hidden="1">
      <c r="A114" s="2337"/>
      <c r="C114" s="1682"/>
      <c r="D114" s="1684"/>
      <c r="E114" s="554" t="str">
        <f>FHD_NUM_P_70</f>
        <v/>
      </c>
      <c r="F114" s="715" t="str">
        <f>FHD_P_70</f>
        <v/>
      </c>
      <c r="G114" s="1689" t="s">
        <v>1744</v>
      </c>
      <c r="H114" s="565"/>
      <c r="I114" s="565"/>
      <c r="J114" s="4358"/>
      <c r="K114" s="4358"/>
      <c r="L114" s="4358"/>
      <c r="M114" s="551"/>
      <c r="N114" s="1682"/>
      <c r="O114" s="1682"/>
      <c r="T114" s="1682"/>
      <c r="W114" s="552"/>
      <c r="AC114" s="1678"/>
      <c r="AD114" s="1678"/>
      <c r="AE114" s="1678"/>
      <c r="AF114" s="1678"/>
      <c r="AG114" s="1678"/>
    </row>
    <row s="3159" customFormat="1" customHeight="1" ht="22.5" hidden="1">
      <c r="A115" s="2337"/>
      <c r="C115" s="1682"/>
      <c r="D115" s="1684"/>
      <c r="E115" s="554" t="str">
        <f>FHD_NUM_P_71</f>
        <v/>
      </c>
      <c r="F115" s="715" t="str">
        <f>FHD_P_71</f>
        <v/>
      </c>
      <c r="G115" s="1689" t="s">
        <v>1744</v>
      </c>
      <c r="H115" s="565"/>
      <c r="I115" s="565"/>
      <c r="J115" s="4358"/>
      <c r="K115" s="4358"/>
      <c r="L115" s="4358"/>
      <c r="M115" s="551"/>
      <c r="N115" s="1682"/>
      <c r="O115" s="1682"/>
      <c r="T115" s="1682"/>
      <c r="W115" s="552"/>
      <c r="AC115" s="1678"/>
      <c r="AD115" s="1678"/>
      <c r="AE115" s="1678"/>
      <c r="AF115" s="1678"/>
      <c r="AG115" s="1678"/>
    </row>
    <row customHeight="1" ht="28.333333333333332">
      <c r="D116" s="1684"/>
      <c r="E116" s="554" t="str">
        <f>FHD_NUM_P_72</f>
        <v>10</v>
      </c>
      <c r="F116" s="715" t="str">
        <f>FHD_P_72</f>
        <v>Среднесписочная численность основного производственного персонала</v>
      </c>
      <c r="G116" s="982" t="s">
        <v>1745</v>
      </c>
      <c r="H116" s="585"/>
      <c r="I116" s="585">
        <v>272.19</v>
      </c>
      <c r="J116" s="4385">
        <v>26.31</v>
      </c>
      <c r="K116" s="4385">
        <v>0</v>
      </c>
      <c r="L116" s="4385"/>
      <c r="M116" s="551"/>
    </row>
    <row customHeight="1" ht="18.75" hidden="1">
      <c r="A117" s="1002" t="s">
        <v>1746</v>
      </c>
      <c r="D117" s="1684"/>
      <c r="E117" s="554" t="str">
        <f>FHD_NUM_P_73</f>
        <v/>
      </c>
      <c r="F117" s="715" t="str">
        <f>FHD_P_73</f>
        <v/>
      </c>
      <c r="G117" s="983" t="s">
        <v>1745</v>
      </c>
      <c r="H117" s="981"/>
      <c r="I117" s="981"/>
      <c r="J117" s="4440"/>
      <c r="K117" s="4440"/>
      <c r="L117" s="4440"/>
      <c r="M117" s="551"/>
    </row>
    <row customHeight="1" ht="33.75" hidden="1">
      <c r="A118" s="1002" t="s">
        <v>1747</v>
      </c>
      <c r="D118" s="1684"/>
      <c r="E118" s="554" t="str">
        <f>FHD_NUM_P_74</f>
        <v/>
      </c>
      <c r="F118" s="715" t="str">
        <f>FHD_P_74</f>
        <v/>
      </c>
      <c r="G118" s="982" t="s">
        <v>1748</v>
      </c>
      <c r="H118" s="585"/>
      <c r="I118" s="585"/>
      <c r="J118" s="4385"/>
      <c r="K118" s="4385"/>
      <c r="L118" s="4385"/>
      <c r="M118" s="551"/>
    </row>
    <row s="4421" customFormat="1" customHeight="1" ht="18.75" hidden="1">
      <c r="A119" s="2339" t="s">
        <v>1749</v>
      </c>
      <c r="B119" s="922"/>
      <c r="C119" s="744"/>
      <c r="D119" s="742"/>
      <c r="E119" s="554" t="str">
        <f>FHD_NUM_P_75</f>
        <v/>
      </c>
      <c r="F119" s="715" t="str">
        <f>FHD_P_75</f>
        <v/>
      </c>
      <c r="G119" s="982" t="s">
        <v>1634</v>
      </c>
      <c r="H119" s="565"/>
      <c r="I119" s="565"/>
      <c r="J119" s="4358"/>
      <c r="K119" s="4358"/>
      <c r="L119" s="4358"/>
      <c r="M119" s="743"/>
      <c r="N119" s="744"/>
      <c r="O119" s="744"/>
      <c r="P119" s="922"/>
      <c r="Q119" s="922"/>
      <c r="R119" s="922"/>
      <c r="S119" s="922"/>
      <c r="T119" s="744"/>
      <c r="U119" s="922"/>
      <c r="V119" s="922"/>
      <c r="W119" s="745"/>
      <c r="X119" s="922"/>
      <c r="Y119" s="922"/>
      <c r="Z119" s="922"/>
      <c r="AA119" s="922"/>
      <c r="AB119" s="922"/>
      <c r="AC119" s="746"/>
      <c r="AD119" s="746"/>
      <c r="AE119" s="746"/>
      <c r="AF119" s="746"/>
      <c r="AG119" s="746"/>
    </row>
    <row s="4421" customFormat="1" customHeight="1" ht="18.75" hidden="1">
      <c r="A120" s="2339"/>
      <c r="B120" s="922"/>
      <c r="C120" s="744"/>
      <c r="D120" s="742"/>
      <c r="E120" s="554" t="str">
        <f>FHD_NUM_P_76</f>
        <v/>
      </c>
      <c r="F120" s="715" t="str">
        <f>FHD_P_76</f>
        <v/>
      </c>
      <c r="G120" s="982" t="s">
        <v>1634</v>
      </c>
      <c r="H120" s="565"/>
      <c r="I120" s="565"/>
      <c r="J120" s="4358"/>
      <c r="K120" s="4358"/>
      <c r="L120" s="4358"/>
      <c r="M120" s="743"/>
      <c r="N120" s="744"/>
      <c r="O120" s="744"/>
      <c r="P120" s="922"/>
      <c r="Q120" s="922"/>
      <c r="R120" s="922"/>
      <c r="S120" s="922"/>
      <c r="T120" s="744"/>
      <c r="U120" s="922"/>
      <c r="V120" s="922"/>
      <c r="W120" s="745"/>
      <c r="X120" s="922"/>
      <c r="Y120" s="922"/>
      <c r="Z120" s="922"/>
      <c r="AA120" s="922"/>
      <c r="AB120" s="922"/>
      <c r="AC120" s="746"/>
      <c r="AD120" s="746"/>
      <c r="AE120" s="746"/>
      <c r="AF120" s="746"/>
      <c r="AG120" s="746"/>
    </row>
    <row s="4421" customFormat="1" customHeight="1" ht="18.75" hidden="1">
      <c r="A121" s="2339"/>
      <c r="B121" s="922"/>
      <c r="C121" s="744"/>
      <c r="D121" s="742"/>
      <c r="E121" s="554" t="str">
        <f>FHD_NUM_P_77</f>
        <v/>
      </c>
      <c r="F121" s="715" t="str">
        <f>FHD_P_77</f>
        <v/>
      </c>
      <c r="G121" s="982" t="s">
        <v>1634</v>
      </c>
      <c r="H121" s="565"/>
      <c r="I121" s="565"/>
      <c r="J121" s="4358"/>
      <c r="K121" s="4358"/>
      <c r="L121" s="4358"/>
      <c r="M121" s="743"/>
      <c r="N121" s="744"/>
      <c r="O121" s="744"/>
      <c r="P121" s="922"/>
      <c r="Q121" s="922"/>
      <c r="R121" s="922"/>
      <c r="S121" s="922"/>
      <c r="T121" s="744"/>
      <c r="U121" s="922"/>
      <c r="V121" s="922"/>
      <c r="W121" s="745"/>
      <c r="X121" s="922"/>
      <c r="Y121" s="922"/>
      <c r="Z121" s="922"/>
      <c r="AA121" s="922"/>
      <c r="AB121" s="922"/>
      <c r="AC121" s="746"/>
      <c r="AD121" s="746"/>
      <c r="AE121" s="746"/>
      <c r="AF121" s="746"/>
      <c r="AG121" s="746"/>
    </row>
    <row s="3165" customFormat="1" customHeight="1" ht="0.75" hidden="1">
      <c r="A122" s="2339"/>
      <c r="D122" s="556"/>
      <c r="E122" s="812" t="str">
        <f>E121&amp;".0"</f>
        <v>.0</v>
      </c>
      <c r="F122" s="1010"/>
      <c r="G122" s="1697"/>
      <c r="H122" s="1005"/>
      <c r="I122" s="1005"/>
      <c r="J122" s="4397"/>
      <c r="K122" s="4397"/>
      <c r="L122" s="4397"/>
    </row>
    <row s="4421" customFormat="1" customHeight="1" ht="15" hidden="1">
      <c r="A123" s="2339"/>
      <c r="B123" s="922"/>
      <c r="C123" s="744"/>
      <c r="D123" s="755"/>
      <c r="E123" s="986"/>
      <c r="F123" s="987" t="s">
        <v>1750</v>
      </c>
      <c r="G123" s="756"/>
      <c r="H123" s="757"/>
      <c r="I123" s="757"/>
      <c r="J123" s="4448"/>
      <c r="K123" s="4449"/>
      <c r="L123" s="4450"/>
      <c r="M123" s="743"/>
      <c r="N123" s="744"/>
      <c r="O123" s="744"/>
      <c r="P123" s="922"/>
      <c r="Q123" s="922"/>
      <c r="R123" s="922"/>
      <c r="S123" s="922"/>
      <c r="T123" s="744"/>
      <c r="U123" s="922"/>
      <c r="V123" s="922"/>
      <c r="W123" s="745"/>
      <c r="X123" s="922"/>
      <c r="Y123" s="922"/>
      <c r="Z123" s="922"/>
      <c r="AA123" s="922"/>
      <c r="AB123" s="922"/>
      <c r="AC123" s="746"/>
      <c r="AD123" s="746"/>
      <c r="AE123" s="746"/>
      <c r="AF123" s="746"/>
      <c r="AG123" s="746"/>
    </row>
    <row customHeight="1" ht="22.5" hidden="1">
      <c r="A124" s="2337" t="s">
        <v>1751</v>
      </c>
      <c r="D124" s="1684"/>
      <c r="E124" s="554" t="str">
        <f>FHD_NUM_P_78</f>
        <v/>
      </c>
      <c r="F124" s="715" t="str">
        <f>FHD_P_78</f>
        <v/>
      </c>
      <c r="G124" s="1689" t="s">
        <v>1721</v>
      </c>
      <c r="H124" s="585"/>
      <c r="I124" s="585"/>
      <c r="J124" s="4385"/>
      <c r="K124" s="4385"/>
      <c r="L124" s="4385"/>
      <c r="M124" s="551"/>
    </row>
    <row s="3165" customFormat="1" customHeight="1" ht="0.75" hidden="1">
      <c r="A125" s="2337"/>
      <c r="D125" s="556"/>
      <c r="E125" s="812" t="str">
        <f>E124&amp;".0"</f>
        <v>.0</v>
      </c>
      <c r="F125" s="1010"/>
      <c r="G125" s="1697"/>
      <c r="H125" s="1005"/>
      <c r="I125" s="1005"/>
      <c r="J125" s="4397"/>
      <c r="K125" s="4397"/>
      <c r="L125" s="4397"/>
    </row>
    <row customHeight="1" ht="15" hidden="1">
      <c r="A126" s="2337"/>
      <c r="D126" s="1679"/>
      <c r="E126" s="578"/>
      <c r="F126" s="588" t="s">
        <v>1573</v>
      </c>
      <c r="G126" s="580"/>
      <c r="H126" s="581"/>
      <c r="I126" s="581"/>
      <c r="J126" s="4451"/>
      <c r="K126" s="4452"/>
      <c r="L126" s="4453"/>
      <c r="M126" s="551"/>
    </row>
    <row customHeight="1" ht="22.5" hidden="1">
      <c r="A127" s="2337"/>
      <c r="D127" s="1684"/>
      <c r="E127" s="554" t="str">
        <f>FHD_NUM_P_79</f>
        <v/>
      </c>
      <c r="F127" s="715" t="str">
        <f>FHD_P_79</f>
        <v/>
      </c>
      <c r="G127" s="1692" t="s">
        <v>1722</v>
      </c>
      <c r="H127" s="585"/>
      <c r="I127" s="585"/>
      <c r="J127" s="4385"/>
      <c r="K127" s="4385"/>
      <c r="L127" s="4385"/>
      <c r="M127" s="551"/>
    </row>
    <row s="3165" customFormat="1" customHeight="1" ht="0.75" hidden="1">
      <c r="A128" s="2337"/>
      <c r="D128" s="556"/>
      <c r="E128" s="812" t="str">
        <f>E127&amp;".0"</f>
        <v>.0</v>
      </c>
      <c r="F128" s="1011"/>
      <c r="G128" s="1697"/>
      <c r="H128" s="1005"/>
      <c r="I128" s="1005"/>
      <c r="J128" s="4397"/>
      <c r="K128" s="4397"/>
      <c r="L128" s="4397"/>
    </row>
    <row customHeight="1" ht="15" hidden="1">
      <c r="A129" s="2337"/>
      <c r="D129" s="1679"/>
      <c r="E129" s="578"/>
      <c r="F129" s="588" t="s">
        <v>1573</v>
      </c>
      <c r="G129" s="580"/>
      <c r="H129" s="581"/>
      <c r="I129" s="581"/>
      <c r="J129" s="4455"/>
      <c r="K129" s="4456"/>
      <c r="L129" s="4457"/>
      <c r="M129" s="551"/>
    </row>
    <row customHeight="1" ht="22.5" hidden="1">
      <c r="A130" s="2337"/>
      <c r="D130" s="1684"/>
      <c r="E130" s="554" t="str">
        <f>FHD_NUM_P_80</f>
        <v/>
      </c>
      <c r="F130" s="715" t="str">
        <f>FHD_P_80</f>
        <v/>
      </c>
      <c r="G130" s="1692" t="s">
        <v>1752</v>
      </c>
      <c r="H130" s="565"/>
      <c r="I130" s="565"/>
      <c r="J130" s="4358"/>
      <c r="K130" s="4358"/>
      <c r="L130" s="4358"/>
      <c r="M130" s="551"/>
    </row>
    <row customHeight="1" ht="18.75" hidden="1">
      <c r="A131" s="2337"/>
      <c r="D131" s="1684"/>
      <c r="E131" s="554" t="str">
        <f>FHD_NUM_P_81</f>
        <v/>
      </c>
      <c r="F131" s="715" t="str">
        <f>FHD_P_81</f>
        <v/>
      </c>
      <c r="G131" s="1692" t="s">
        <v>1753</v>
      </c>
      <c r="H131" s="565"/>
      <c r="I131" s="565"/>
      <c r="J131" s="4358"/>
      <c r="K131" s="4358"/>
      <c r="L131" s="4358"/>
      <c r="M131" s="551"/>
    </row>
    <row customHeight="1" ht="18.75" hidden="1">
      <c r="A132" s="2337"/>
      <c r="C132" s="1682" t="s">
        <v>1743</v>
      </c>
      <c r="D132" s="1684"/>
      <c r="E132" s="554" t="str">
        <f>FHD_NUM_P_82</f>
        <v/>
      </c>
      <c r="F132" s="715" t="str">
        <f>FHD_P_82</f>
        <v/>
      </c>
      <c r="G132" s="1692" t="s">
        <v>299</v>
      </c>
      <c r="H132" s="408"/>
      <c r="I132" s="408"/>
      <c r="J132" s="4198"/>
      <c r="K132" s="4198"/>
      <c r="L132" s="4198"/>
      <c r="M132" s="551"/>
    </row>
    <row customHeight="1" ht="18.75" hidden="1">
      <c r="A133" s="2337"/>
      <c r="C133" s="1682" t="s">
        <v>1743</v>
      </c>
      <c r="D133" s="1684"/>
      <c r="E133" s="554" t="str">
        <f>FHD_NUM_P_83</f>
        <v/>
      </c>
      <c r="F133" s="967" t="str">
        <f>FHD_P_83</f>
        <v/>
      </c>
      <c r="G133" s="1692" t="s">
        <v>299</v>
      </c>
      <c r="H133" s="408"/>
      <c r="I133" s="408"/>
      <c r="J133" s="4198"/>
      <c r="K133" s="4198"/>
      <c r="L133" s="4198"/>
      <c r="M133" s="551"/>
    </row>
    <row customHeight="1" ht="18.75" hidden="1">
      <c r="A134" s="2337"/>
      <c r="C134" s="1682" t="s">
        <v>1743</v>
      </c>
      <c r="D134" s="1684"/>
      <c r="E134" s="554" t="str">
        <f>FHD_NUM_P_84</f>
        <v/>
      </c>
      <c r="F134" s="967" t="str">
        <f>FHD_P_84</f>
        <v/>
      </c>
      <c r="G134" s="1692" t="s">
        <v>299</v>
      </c>
      <c r="H134" s="408"/>
      <c r="I134" s="408"/>
      <c r="J134" s="4198"/>
      <c r="K134" s="4198"/>
      <c r="L134" s="4198"/>
      <c r="M134" s="551"/>
    </row>
    <row customHeight="1" ht="11.25">
      <c r="D135" s="1684"/>
      <c r="J135" s="4122"/>
      <c r="K135" s="4122"/>
      <c r="L135" s="4122"/>
    </row>
    <row customHeight="1" ht="12.75">
      <c r="D136" s="1684"/>
      <c r="E136" s="332"/>
      <c r="F136" s="369"/>
      <c r="G136" s="369"/>
      <c r="H136" s="369"/>
      <c r="I136" s="1693"/>
      <c r="J136" s="4459"/>
      <c r="K136" s="4459"/>
      <c r="L136" s="4459"/>
    </row>
    <row s="4362" customFormat="1" customHeight="1" ht="11.25">
      <c r="A137" s="1000"/>
      <c r="B137" s="1682"/>
      <c r="C137" s="1682"/>
      <c r="D137" s="347"/>
      <c r="F137" s="1686"/>
      <c r="G137" s="1677"/>
      <c r="H137" s="1677"/>
      <c r="I137" s="1677"/>
      <c r="J137" s="4122"/>
      <c r="K137" s="4122"/>
      <c r="L137" s="4122"/>
      <c r="M137" s="1174"/>
      <c r="N137" s="1682"/>
      <c r="O137" s="1682"/>
      <c r="P137" s="1174"/>
      <c r="Q137" s="1174"/>
      <c r="R137" s="1174"/>
      <c r="S137" s="1174"/>
      <c r="T137" s="1682"/>
      <c r="U137" s="1174"/>
      <c r="V137" s="1174"/>
      <c r="W137" s="552"/>
      <c r="X137" s="1174"/>
      <c r="Y137" s="1174"/>
      <c r="Z137" s="1174"/>
      <c r="AA137" s="1174"/>
      <c r="AB137" s="1174"/>
      <c r="AC137" s="1678"/>
      <c r="AD137" s="574"/>
      <c r="AE137" s="574"/>
      <c r="AF137" s="574"/>
      <c r="AG137" s="574"/>
    </row>
    <row s="4362" customFormat="1" customHeight="1" ht="11.25">
      <c r="A138" s="1000"/>
      <c r="B138" s="1682"/>
      <c r="C138" s="1682"/>
      <c r="D138" s="347"/>
      <c r="J138" s="4461"/>
      <c r="K138" s="4461"/>
      <c r="L138" s="4461"/>
      <c r="M138" s="1174"/>
      <c r="N138" s="1682"/>
      <c r="O138" s="1682"/>
      <c r="P138" s="1174"/>
      <c r="Q138" s="1174"/>
      <c r="R138" s="1174"/>
      <c r="S138" s="1174"/>
      <c r="T138" s="1682"/>
      <c r="U138" s="1174"/>
      <c r="V138" s="1174"/>
      <c r="W138" s="552"/>
      <c r="X138" s="1174"/>
      <c r="Y138" s="1174"/>
      <c r="Z138" s="1174"/>
      <c r="AA138" s="1174"/>
      <c r="AB138" s="1174"/>
      <c r="AC138" s="1678"/>
      <c r="AD138" s="574"/>
      <c r="AE138" s="574"/>
      <c r="AF138" s="574"/>
      <c r="AG138" s="574"/>
    </row>
    <row s="4362" customFormat="1" customHeight="1" ht="11.25">
      <c r="A139" s="1000"/>
      <c r="B139" s="1682"/>
      <c r="C139" s="1682"/>
      <c r="D139" s="347"/>
      <c r="J139" s="4461"/>
      <c r="K139" s="4461"/>
      <c r="L139" s="4461"/>
      <c r="M139" s="1174"/>
      <c r="N139" s="1682"/>
      <c r="O139" s="1682"/>
      <c r="P139" s="1174"/>
      <c r="Q139" s="1174"/>
      <c r="R139" s="1174"/>
      <c r="S139" s="1174"/>
      <c r="T139" s="1682"/>
      <c r="U139" s="1174"/>
      <c r="V139" s="1174"/>
      <c r="W139" s="552"/>
      <c r="X139" s="1174"/>
      <c r="Y139" s="1174"/>
      <c r="Z139" s="1174"/>
      <c r="AA139" s="1174"/>
      <c r="AB139" s="1174"/>
      <c r="AC139" s="1678"/>
      <c r="AD139" s="574"/>
      <c r="AE139" s="574"/>
      <c r="AF139" s="574"/>
      <c r="AG139" s="574"/>
    </row>
    <row s="4362" customFormat="1" customHeight="1" ht="11.25">
      <c r="A140" s="1000"/>
      <c r="B140" s="1682"/>
      <c r="C140" s="1682"/>
      <c r="D140" s="347"/>
      <c r="H140" s="574" t="str">
        <f>IF(H30-H31&lt;&gt;H76,"WARNING","")</f>
        <v/>
      </c>
      <c r="I140" s="574" t="str">
        <f>IF(I30-I31&lt;&gt;I76,"WARNING","")</f>
        <v>WARNING</v>
      </c>
      <c r="J140" s="4462" t="str">
        <f>IF(J30-J31&lt;&gt;J76,"WARNING","")</f>
        <v>WARNING</v>
      </c>
      <c r="K140" s="4462" t="str">
        <f>IF(K30-K31&lt;&gt;K76,"WARNING","")</f>
        <v>WARNING</v>
      </c>
      <c r="L140" s="4462" t="str">
        <f>IF(L30-L31&lt;&gt;L76,"WARNING","")</f>
        <v/>
      </c>
      <c r="M140" s="1174"/>
      <c r="N140" s="1682"/>
      <c r="O140" s="1682"/>
      <c r="P140" s="1174"/>
      <c r="Q140" s="1174"/>
      <c r="R140" s="1174"/>
      <c r="S140" s="1174"/>
      <c r="T140" s="1682"/>
      <c r="U140" s="1174"/>
      <c r="V140" s="1174"/>
      <c r="W140" s="552"/>
      <c r="X140" s="1174"/>
      <c r="Y140" s="1174"/>
      <c r="Z140" s="1174"/>
      <c r="AA140" s="1174"/>
      <c r="AB140" s="1174"/>
      <c r="AC140" s="1678"/>
      <c r="AD140" s="574"/>
      <c r="AE140" s="574"/>
      <c r="AF140" s="574"/>
      <c r="AG140" s="574"/>
    </row>
    <row s="4362" customFormat="1" customHeight="1" ht="11.25">
      <c r="A141" s="1000"/>
      <c r="B141" s="1682"/>
      <c r="C141" s="1682"/>
      <c r="D141" s="347"/>
      <c r="J141" s="4461"/>
      <c r="K141" s="4461"/>
      <c r="L141" s="4461"/>
      <c r="M141" s="1174"/>
      <c r="N141" s="1682"/>
      <c r="O141" s="1682"/>
      <c r="P141" s="1174"/>
      <c r="Q141" s="1174"/>
      <c r="R141" s="1174"/>
      <c r="S141" s="1174"/>
      <c r="T141" s="1682"/>
      <c r="U141" s="1174"/>
      <c r="V141" s="1174"/>
      <c r="W141" s="552"/>
      <c r="X141" s="1174"/>
      <c r="Y141" s="1174"/>
      <c r="Z141" s="1174"/>
      <c r="AA141" s="1174"/>
      <c r="AB141" s="1174"/>
      <c r="AC141" s="1678"/>
      <c r="AD141" s="574"/>
      <c r="AE141" s="574"/>
      <c r="AF141" s="574"/>
      <c r="AG141" s="574"/>
    </row>
    <row s="4362" customFormat="1" customHeight="1" ht="11.25">
      <c r="A142" s="1000"/>
      <c r="B142" s="1682"/>
      <c r="C142" s="1682"/>
      <c r="D142" s="347"/>
      <c r="J142" s="4461"/>
      <c r="K142" s="4461"/>
      <c r="L142" s="4461"/>
      <c r="M142" s="1174"/>
      <c r="N142" s="1682"/>
      <c r="O142" s="1682"/>
      <c r="P142" s="1174"/>
      <c r="Q142" s="1174"/>
      <c r="R142" s="1174"/>
      <c r="S142" s="1174"/>
      <c r="T142" s="1682"/>
      <c r="U142" s="1174"/>
      <c r="V142" s="1174"/>
      <c r="W142" s="552"/>
      <c r="X142" s="1174"/>
      <c r="Y142" s="1174"/>
      <c r="Z142" s="1174"/>
      <c r="AA142" s="1174"/>
      <c r="AB142" s="1174"/>
      <c r="AC142" s="1678"/>
      <c r="AD142" s="574"/>
      <c r="AE142" s="574"/>
      <c r="AF142" s="574"/>
      <c r="AG142" s="574"/>
    </row>
    <row s="4362" customFormat="1" customHeight="1" ht="11.25">
      <c r="A143" s="1000"/>
      <c r="B143" s="1682"/>
      <c r="C143" s="1682"/>
      <c r="D143" s="347"/>
      <c r="J143" s="4461"/>
      <c r="K143" s="4461"/>
      <c r="L143" s="4461"/>
      <c r="M143" s="1174"/>
      <c r="N143" s="1682"/>
      <c r="O143" s="1682"/>
      <c r="P143" s="1174"/>
      <c r="Q143" s="1174"/>
      <c r="R143" s="1174"/>
      <c r="S143" s="1174"/>
      <c r="T143" s="1682"/>
      <c r="U143" s="1174"/>
      <c r="V143" s="1174"/>
      <c r="W143" s="552"/>
      <c r="X143" s="1174"/>
      <c r="Y143" s="1174"/>
      <c r="Z143" s="1174"/>
      <c r="AA143" s="1174"/>
      <c r="AB143" s="1174"/>
      <c r="AC143" s="1678"/>
      <c r="AD143" s="574"/>
      <c r="AE143" s="574"/>
      <c r="AF143" s="574"/>
      <c r="AG143" s="574"/>
    </row>
    <row s="4362" customFormat="1" customHeight="1" ht="11.25">
      <c r="A144" s="1000"/>
      <c r="B144" s="1682"/>
      <c r="C144" s="1682"/>
      <c r="D144" s="347"/>
      <c r="J144" s="4461"/>
      <c r="K144" s="4461"/>
      <c r="L144" s="4461"/>
      <c r="M144" s="1174"/>
      <c r="N144" s="1682"/>
      <c r="O144" s="1682"/>
      <c r="P144" s="1174"/>
      <c r="Q144" s="1174"/>
      <c r="R144" s="1174"/>
      <c r="S144" s="1174"/>
      <c r="T144" s="1682"/>
      <c r="U144" s="1174"/>
      <c r="V144" s="1174"/>
      <c r="W144" s="552"/>
      <c r="X144" s="1174"/>
      <c r="Y144" s="1174"/>
      <c r="Z144" s="1174"/>
      <c r="AA144" s="1174"/>
      <c r="AB144" s="1174"/>
      <c r="AC144" s="1678"/>
      <c r="AD144" s="574"/>
      <c r="AE144" s="574"/>
      <c r="AF144" s="574"/>
      <c r="AG144" s="574"/>
    </row>
    <row s="4362" customFormat="1" customHeight="1" ht="11.25">
      <c r="A145" s="1000"/>
      <c r="B145" s="1682"/>
      <c r="C145" s="1682"/>
      <c r="D145" s="347"/>
      <c r="J145" s="4461"/>
      <c r="K145" s="4461"/>
      <c r="L145" s="4461"/>
      <c r="M145" s="1174"/>
      <c r="N145" s="1682"/>
      <c r="O145" s="1682"/>
      <c r="P145" s="1174"/>
      <c r="Q145" s="1174"/>
      <c r="R145" s="1174"/>
      <c r="S145" s="1174"/>
      <c r="T145" s="1682"/>
      <c r="U145" s="1174"/>
      <c r="V145" s="1174"/>
      <c r="W145" s="552"/>
      <c r="X145" s="1174"/>
      <c r="Y145" s="1174"/>
      <c r="Z145" s="1174"/>
      <c r="AA145" s="1174"/>
      <c r="AB145" s="1174"/>
      <c r="AC145" s="1678"/>
      <c r="AD145" s="574"/>
      <c r="AE145" s="574"/>
      <c r="AF145" s="574"/>
      <c r="AG145" s="574"/>
    </row>
    <row s="4362" customFormat="1" customHeight="1" ht="11.25">
      <c r="A146" s="1000"/>
      <c r="B146" s="1682"/>
      <c r="C146" s="1682"/>
      <c r="D146" s="347"/>
      <c r="J146" s="4461"/>
      <c r="K146" s="4461"/>
      <c r="L146" s="4461"/>
      <c r="M146" s="1174"/>
      <c r="N146" s="1682"/>
      <c r="O146" s="1682"/>
      <c r="P146" s="1174"/>
      <c r="Q146" s="1174"/>
      <c r="R146" s="1174"/>
      <c r="S146" s="1174"/>
      <c r="T146" s="1682"/>
      <c r="U146" s="1174"/>
      <c r="V146" s="1174"/>
      <c r="W146" s="552"/>
      <c r="X146" s="1174"/>
      <c r="Y146" s="1174"/>
      <c r="Z146" s="1174"/>
      <c r="AA146" s="1174"/>
      <c r="AB146" s="1174"/>
      <c r="AC146" s="1678"/>
      <c r="AD146" s="574"/>
      <c r="AE146" s="574"/>
      <c r="AF146" s="574"/>
      <c r="AG146" s="574"/>
    </row>
    <row s="4362" customFormat="1" customHeight="1" ht="11.25">
      <c r="A147" s="1000"/>
      <c r="B147" s="1682"/>
      <c r="C147" s="1682"/>
      <c r="D147" s="347"/>
      <c r="J147" s="4461"/>
      <c r="K147" s="4461"/>
      <c r="L147" s="4461"/>
      <c r="M147" s="1174"/>
      <c r="N147" s="1682"/>
      <c r="O147" s="1682"/>
      <c r="P147" s="1174"/>
      <c r="Q147" s="1174"/>
      <c r="R147" s="1174"/>
      <c r="S147" s="1174"/>
      <c r="T147" s="1682"/>
      <c r="U147" s="1174"/>
      <c r="V147" s="1174"/>
      <c r="W147" s="552"/>
      <c r="X147" s="1174"/>
      <c r="Y147" s="1174"/>
      <c r="Z147" s="1174"/>
      <c r="AA147" s="1174"/>
      <c r="AB147" s="1174"/>
      <c r="AC147" s="1678"/>
      <c r="AD147" s="574"/>
      <c r="AE147" s="574"/>
      <c r="AF147" s="574"/>
      <c r="AG147" s="574"/>
    </row>
    <row s="4362" customFormat="1" customHeight="1" ht="11.25">
      <c r="A148" s="1000"/>
      <c r="B148" s="1682"/>
      <c r="C148" s="1682"/>
      <c r="D148" s="347"/>
      <c r="J148" s="4461"/>
      <c r="K148" s="4461"/>
      <c r="L148" s="4461"/>
      <c r="M148" s="1174"/>
      <c r="N148" s="1682"/>
      <c r="O148" s="1682"/>
      <c r="P148" s="1174"/>
      <c r="Q148" s="1174"/>
      <c r="R148" s="1174"/>
      <c r="S148" s="1174"/>
      <c r="T148" s="1682"/>
      <c r="U148" s="1174"/>
      <c r="V148" s="1174"/>
      <c r="W148" s="552"/>
      <c r="X148" s="1174"/>
      <c r="Y148" s="1174"/>
      <c r="Z148" s="1174"/>
      <c r="AA148" s="1174"/>
      <c r="AB148" s="1174"/>
      <c r="AC148" s="1678"/>
      <c r="AD148" s="574"/>
      <c r="AE148" s="574"/>
      <c r="AF148" s="574"/>
      <c r="AG148" s="574"/>
    </row>
    <row s="4362" customFormat="1" customHeight="1" ht="11.25">
      <c r="A149" s="1000"/>
      <c r="B149" s="1682"/>
      <c r="C149" s="1682"/>
      <c r="D149" s="347"/>
      <c r="J149" s="4461"/>
      <c r="K149" s="4461"/>
      <c r="L149" s="4461"/>
      <c r="M149" s="1174"/>
      <c r="N149" s="1682"/>
      <c r="O149" s="1682"/>
      <c r="P149" s="1174"/>
      <c r="Q149" s="1174"/>
      <c r="R149" s="1174"/>
      <c r="S149" s="1174"/>
      <c r="T149" s="1682"/>
      <c r="U149" s="1174"/>
      <c r="V149" s="1174"/>
      <c r="W149" s="552"/>
      <c r="X149" s="1174"/>
      <c r="Y149" s="1174"/>
      <c r="Z149" s="1174"/>
      <c r="AA149" s="1174"/>
      <c r="AB149" s="1174"/>
      <c r="AC149" s="1678"/>
      <c r="AD149" s="574"/>
      <c r="AE149" s="574"/>
      <c r="AF149" s="574"/>
      <c r="AG149" s="574"/>
    </row>
    <row s="4362" customFormat="1" customHeight="1" ht="11.25">
      <c r="A150" s="1000"/>
      <c r="B150" s="1682"/>
      <c r="C150" s="1682"/>
      <c r="D150" s="347"/>
      <c r="J150" s="4461"/>
      <c r="K150" s="4461"/>
      <c r="L150" s="4461"/>
      <c r="M150" s="1174"/>
      <c r="N150" s="1682"/>
      <c r="O150" s="1682"/>
      <c r="P150" s="1174"/>
      <c r="Q150" s="1174"/>
      <c r="R150" s="1174"/>
      <c r="S150" s="1174"/>
      <c r="T150" s="1682"/>
      <c r="U150" s="1174"/>
      <c r="V150" s="1174"/>
      <c r="W150" s="552"/>
      <c r="X150" s="1174"/>
      <c r="Y150" s="1174"/>
      <c r="Z150" s="1174"/>
      <c r="AA150" s="1174"/>
      <c r="AB150" s="1174"/>
      <c r="AC150" s="1678"/>
      <c r="AD150" s="574"/>
      <c r="AE150" s="574"/>
      <c r="AF150" s="574"/>
      <c r="AG150" s="574"/>
    </row>
    <row s="4362" customFormat="1" customHeight="1" ht="11.25">
      <c r="A151" s="1000"/>
      <c r="B151" s="1682"/>
      <c r="C151" s="1682"/>
      <c r="D151" s="347"/>
      <c r="J151" s="4461"/>
      <c r="K151" s="4461"/>
      <c r="L151" s="4461"/>
      <c r="M151" s="1174"/>
      <c r="N151" s="1682"/>
      <c r="O151" s="1682"/>
      <c r="P151" s="1174"/>
      <c r="Q151" s="1174"/>
      <c r="R151" s="1174"/>
      <c r="S151" s="1174"/>
      <c r="T151" s="1682"/>
      <c r="U151" s="1174"/>
      <c r="V151" s="1174"/>
      <c r="W151" s="552"/>
      <c r="X151" s="1174"/>
      <c r="Y151" s="1174"/>
      <c r="Z151" s="1174"/>
      <c r="AA151" s="1174"/>
      <c r="AB151" s="1174"/>
      <c r="AC151" s="1678"/>
      <c r="AD151" s="574"/>
      <c r="AE151" s="574"/>
      <c r="AF151" s="574"/>
      <c r="AG151" s="574"/>
    </row>
    <row s="4362" customFormat="1" customHeight="1" ht="11.25">
      <c r="A152" s="1000"/>
      <c r="B152" s="1682"/>
      <c r="C152" s="1682"/>
      <c r="D152" s="347"/>
      <c r="J152" s="4461"/>
      <c r="K152" s="4461"/>
      <c r="L152" s="4461"/>
      <c r="M152" s="1174"/>
      <c r="N152" s="1682"/>
      <c r="O152" s="1682"/>
      <c r="P152" s="1174"/>
      <c r="Q152" s="1174"/>
      <c r="R152" s="1174"/>
      <c r="S152" s="1174"/>
      <c r="T152" s="1682"/>
      <c r="U152" s="1174"/>
      <c r="V152" s="1174"/>
      <c r="W152" s="552"/>
      <c r="X152" s="1174"/>
      <c r="Y152" s="1174"/>
      <c r="Z152" s="1174"/>
      <c r="AA152" s="1174"/>
      <c r="AB152" s="1174"/>
      <c r="AC152" s="1678"/>
      <c r="AD152" s="574"/>
      <c r="AE152" s="574"/>
      <c r="AF152" s="574"/>
      <c r="AG152" s="574"/>
    </row>
    <row s="4362" customFormat="1" customHeight="1" ht="11.25">
      <c r="A153" s="1000"/>
      <c r="B153" s="1682"/>
      <c r="C153" s="1682"/>
      <c r="D153" s="347"/>
      <c r="J153" s="4461"/>
      <c r="K153" s="4461"/>
      <c r="L153" s="4461"/>
      <c r="M153" s="1174"/>
      <c r="N153" s="1682"/>
      <c r="O153" s="1682"/>
      <c r="P153" s="1174"/>
      <c r="Q153" s="1174"/>
      <c r="R153" s="1174"/>
      <c r="S153" s="1174"/>
      <c r="T153" s="1682"/>
      <c r="U153" s="1174"/>
      <c r="V153" s="1174"/>
      <c r="W153" s="552"/>
      <c r="X153" s="1174"/>
      <c r="Y153" s="1174"/>
      <c r="Z153" s="1174"/>
      <c r="AA153" s="1174"/>
      <c r="AB153" s="1174"/>
      <c r="AC153" s="1678"/>
      <c r="AD153" s="574"/>
      <c r="AE153" s="574"/>
      <c r="AF153" s="574"/>
      <c r="AG153" s="574"/>
    </row>
    <row s="4362" customFormat="1" customHeight="1" ht="11.25">
      <c r="A154" s="1000"/>
      <c r="B154" s="1682"/>
      <c r="C154" s="1682"/>
      <c r="D154" s="347"/>
      <c r="J154" s="4461"/>
      <c r="K154" s="4461"/>
      <c r="L154" s="4461"/>
      <c r="M154" s="1174"/>
      <c r="N154" s="1682"/>
      <c r="O154" s="1682"/>
      <c r="P154" s="1174"/>
      <c r="Q154" s="1174"/>
      <c r="R154" s="1174"/>
      <c r="S154" s="1174"/>
      <c r="T154" s="1682"/>
      <c r="U154" s="1174"/>
      <c r="V154" s="1174"/>
      <c r="W154" s="552"/>
      <c r="X154" s="1174"/>
      <c r="Y154" s="1174"/>
      <c r="Z154" s="1174"/>
      <c r="AA154" s="1174"/>
      <c r="AB154" s="1174"/>
      <c r="AC154" s="1678"/>
      <c r="AD154" s="574"/>
      <c r="AE154" s="574"/>
      <c r="AF154" s="574"/>
      <c r="AG154" s="574"/>
    </row>
    <row s="4362" customFormat="1" customHeight="1" ht="11.25">
      <c r="A155" s="1000"/>
      <c r="B155" s="1682"/>
      <c r="C155" s="1682"/>
      <c r="D155" s="347"/>
      <c r="J155" s="4461"/>
      <c r="K155" s="4461"/>
      <c r="L155" s="4461"/>
      <c r="M155" s="1174"/>
      <c r="N155" s="1682"/>
      <c r="O155" s="1682"/>
      <c r="P155" s="1174"/>
      <c r="Q155" s="1174"/>
      <c r="R155" s="1174"/>
      <c r="S155" s="1174"/>
      <c r="T155" s="1682"/>
      <c r="U155" s="1174"/>
      <c r="V155" s="1174"/>
      <c r="W155" s="552"/>
      <c r="X155" s="1174"/>
      <c r="Y155" s="1174"/>
      <c r="Z155" s="1174"/>
      <c r="AA155" s="1174"/>
      <c r="AB155" s="1174"/>
      <c r="AC155" s="1678"/>
      <c r="AD155" s="574"/>
      <c r="AE155" s="574"/>
      <c r="AF155" s="574"/>
      <c r="AG155" s="574"/>
    </row>
    <row s="4362" customFormat="1" customHeight="1" ht="11.25">
      <c r="A156" s="1000"/>
      <c r="B156" s="1682"/>
      <c r="C156" s="1682"/>
      <c r="D156" s="347"/>
      <c r="J156" s="4461"/>
      <c r="K156" s="4461"/>
      <c r="L156" s="4461"/>
      <c r="M156" s="1174"/>
      <c r="N156" s="1682"/>
      <c r="O156" s="1682"/>
      <c r="P156" s="1174"/>
      <c r="Q156" s="1174"/>
      <c r="R156" s="1174"/>
      <c r="S156" s="1174"/>
      <c r="T156" s="1682"/>
      <c r="U156" s="1174"/>
      <c r="V156" s="1174"/>
      <c r="W156" s="552"/>
      <c r="X156" s="1174"/>
      <c r="Y156" s="1174"/>
      <c r="Z156" s="1174"/>
      <c r="AA156" s="1174"/>
      <c r="AB156" s="1174"/>
      <c r="AC156" s="1678"/>
      <c r="AD156" s="574"/>
      <c r="AE156" s="574"/>
      <c r="AF156" s="574"/>
      <c r="AG156" s="574"/>
    </row>
    <row s="4362" customFormat="1" customHeight="1" ht="11.25">
      <c r="A157" s="1000"/>
      <c r="B157" s="1682"/>
      <c r="C157" s="1682"/>
      <c r="D157" s="347"/>
      <c r="J157" s="4461"/>
      <c r="K157" s="4461"/>
      <c r="L157" s="4461"/>
      <c r="M157" s="1174"/>
      <c r="N157" s="1682"/>
      <c r="O157" s="1682"/>
      <c r="P157" s="1174"/>
      <c r="Q157" s="1174"/>
      <c r="R157" s="1174"/>
      <c r="S157" s="1174"/>
      <c r="T157" s="1682"/>
      <c r="U157" s="1174"/>
      <c r="V157" s="1174"/>
      <c r="W157" s="552"/>
      <c r="X157" s="1174"/>
      <c r="Y157" s="1174"/>
      <c r="Z157" s="1174"/>
      <c r="AA157" s="1174"/>
      <c r="AB157" s="1174"/>
      <c r="AC157" s="1678"/>
      <c r="AD157" s="574"/>
      <c r="AE157" s="574"/>
      <c r="AF157" s="574"/>
      <c r="AG157" s="574"/>
    </row>
    <row s="4362" customFormat="1" customHeight="1" ht="11.25">
      <c r="A158" s="1000"/>
      <c r="B158" s="1682"/>
      <c r="C158" s="1682"/>
      <c r="D158" s="347"/>
      <c r="J158" s="4461"/>
      <c r="K158" s="4461"/>
      <c r="L158" s="4461"/>
      <c r="M158" s="1174"/>
      <c r="N158" s="1682"/>
      <c r="O158" s="1682"/>
      <c r="P158" s="1174"/>
      <c r="Q158" s="1174"/>
      <c r="R158" s="1174"/>
      <c r="S158" s="1174"/>
      <c r="T158" s="1682"/>
      <c r="U158" s="1174"/>
      <c r="V158" s="1174"/>
      <c r="W158" s="552"/>
      <c r="X158" s="1174"/>
      <c r="Y158" s="1174"/>
      <c r="Z158" s="1174"/>
      <c r="AA158" s="1174"/>
      <c r="AB158" s="1174"/>
      <c r="AC158" s="1678"/>
      <c r="AD158" s="574"/>
      <c r="AE158" s="574"/>
      <c r="AF158" s="574"/>
      <c r="AG158" s="574"/>
    </row>
    <row s="4362" customFormat="1" customHeight="1" ht="11.25">
      <c r="A159" s="1000"/>
      <c r="B159" s="1682"/>
      <c r="C159" s="1682"/>
      <c r="D159" s="347"/>
      <c r="J159" s="4461"/>
      <c r="K159" s="4461"/>
      <c r="L159" s="4461"/>
      <c r="M159" s="1174"/>
      <c r="N159" s="1682"/>
      <c r="O159" s="1682"/>
      <c r="P159" s="1174"/>
      <c r="Q159" s="1174"/>
      <c r="R159" s="1174"/>
      <c r="S159" s="1174"/>
      <c r="T159" s="1682"/>
      <c r="U159" s="1174"/>
      <c r="V159" s="1174"/>
      <c r="W159" s="552"/>
      <c r="X159" s="1174"/>
      <c r="Y159" s="1174"/>
      <c r="Z159" s="1174"/>
      <c r="AA159" s="1174"/>
      <c r="AB159" s="1174"/>
      <c r="AC159" s="1678"/>
      <c r="AD159" s="574"/>
      <c r="AE159" s="574"/>
      <c r="AF159" s="574"/>
      <c r="AG159" s="574"/>
    </row>
    <row s="4362" customFormat="1" customHeight="1" ht="11.25">
      <c r="A160" s="1000"/>
      <c r="B160" s="1682"/>
      <c r="C160" s="1682"/>
      <c r="D160" s="347"/>
      <c r="J160" s="4461"/>
      <c r="K160" s="4461"/>
      <c r="L160" s="4461"/>
      <c r="M160" s="1174"/>
      <c r="N160" s="1682"/>
      <c r="O160" s="1682"/>
      <c r="P160" s="1174"/>
      <c r="Q160" s="1174"/>
      <c r="R160" s="1174"/>
      <c r="S160" s="1174"/>
      <c r="T160" s="1682"/>
      <c r="U160" s="1174"/>
      <c r="V160" s="1174"/>
      <c r="W160" s="552"/>
      <c r="X160" s="1174"/>
      <c r="Y160" s="1174"/>
      <c r="Z160" s="1174"/>
      <c r="AA160" s="1174"/>
      <c r="AB160" s="1174"/>
      <c r="AC160" s="1678"/>
      <c r="AD160" s="574"/>
      <c r="AE160" s="574"/>
      <c r="AF160" s="574"/>
      <c r="AG160" s="574"/>
    </row>
    <row s="4362" customFormat="1" customHeight="1" ht="11.25">
      <c r="A161" s="1000"/>
      <c r="B161" s="1682"/>
      <c r="C161" s="1682"/>
      <c r="D161" s="347"/>
      <c r="J161" s="4461"/>
      <c r="K161" s="4461"/>
      <c r="L161" s="4461"/>
      <c r="M161" s="1174"/>
      <c r="N161" s="1682"/>
      <c r="O161" s="1682"/>
      <c r="P161" s="1174"/>
      <c r="Q161" s="1174"/>
      <c r="R161" s="1174"/>
      <c r="S161" s="1174"/>
      <c r="T161" s="1682"/>
      <c r="U161" s="1174"/>
      <c r="V161" s="1174"/>
      <c r="W161" s="552"/>
      <c r="X161" s="1174"/>
      <c r="Y161" s="1174"/>
      <c r="Z161" s="1174"/>
      <c r="AA161" s="1174"/>
      <c r="AB161" s="1174"/>
      <c r="AC161" s="1678"/>
      <c r="AD161" s="574"/>
      <c r="AE161" s="574"/>
      <c r="AF161" s="574"/>
      <c r="AG161" s="574"/>
    </row>
    <row s="4362" customFormat="1" customHeight="1" ht="11.25">
      <c r="A162" s="1000"/>
      <c r="B162" s="1682"/>
      <c r="C162" s="1682"/>
      <c r="D162" s="347"/>
      <c r="J162" s="4461"/>
      <c r="K162" s="4461"/>
      <c r="L162" s="4461"/>
      <c r="M162" s="1174"/>
      <c r="N162" s="1682"/>
      <c r="O162" s="1682"/>
      <c r="P162" s="1174"/>
      <c r="Q162" s="1174"/>
      <c r="R162" s="1174"/>
      <c r="S162" s="1174"/>
      <c r="T162" s="1682"/>
      <c r="U162" s="1174"/>
      <c r="V162" s="1174"/>
      <c r="W162" s="552"/>
      <c r="X162" s="1174"/>
      <c r="Y162" s="1174"/>
      <c r="Z162" s="1174"/>
      <c r="AA162" s="1174"/>
      <c r="AB162" s="1174"/>
      <c r="AC162" s="1678"/>
      <c r="AD162" s="574"/>
      <c r="AE162" s="574"/>
      <c r="AF162" s="574"/>
      <c r="AG162" s="574"/>
    </row>
    <row s="4362" customFormat="1" customHeight="1" ht="11.25">
      <c r="A163" s="1000"/>
      <c r="B163" s="1682"/>
      <c r="C163" s="1682"/>
      <c r="D163" s="347"/>
      <c r="J163" s="4461"/>
      <c r="K163" s="4461"/>
      <c r="L163" s="4461"/>
      <c r="M163" s="1174"/>
      <c r="N163" s="1682"/>
      <c r="O163" s="1682"/>
      <c r="P163" s="1174"/>
      <c r="Q163" s="1174"/>
      <c r="R163" s="1174"/>
      <c r="S163" s="1174"/>
      <c r="T163" s="1682"/>
      <c r="U163" s="1174"/>
      <c r="V163" s="1174"/>
      <c r="W163" s="552"/>
      <c r="X163" s="1174"/>
      <c r="Y163" s="1174"/>
      <c r="Z163" s="1174"/>
      <c r="AA163" s="1174"/>
      <c r="AB163" s="1174"/>
      <c r="AC163" s="1678"/>
      <c r="AD163" s="574"/>
      <c r="AE163" s="574"/>
      <c r="AF163" s="574"/>
      <c r="AG163" s="574"/>
    </row>
    <row s="4362" customFormat="1" customHeight="1" ht="11.25">
      <c r="A164" s="1000"/>
      <c r="B164" s="1682"/>
      <c r="C164" s="1682"/>
      <c r="D164" s="347"/>
      <c r="J164" s="4461"/>
      <c r="K164" s="4461"/>
      <c r="L164" s="4461"/>
      <c r="M164" s="1174"/>
      <c r="N164" s="1682"/>
      <c r="O164" s="1682"/>
      <c r="P164" s="1174"/>
      <c r="Q164" s="1174"/>
      <c r="R164" s="1174"/>
      <c r="S164" s="1174"/>
      <c r="T164" s="1682"/>
      <c r="U164" s="1174"/>
      <c r="V164" s="1174"/>
      <c r="W164" s="552"/>
      <c r="X164" s="1174"/>
      <c r="Y164" s="1174"/>
      <c r="Z164" s="1174"/>
      <c r="AA164" s="1174"/>
      <c r="AB164" s="1174"/>
      <c r="AC164" s="1678"/>
      <c r="AD164" s="574"/>
      <c r="AE164" s="574"/>
      <c r="AF164" s="574"/>
      <c r="AG164" s="574"/>
    </row>
    <row s="4362" customFormat="1" customHeight="1" ht="11.25">
      <c r="A165" s="1000"/>
      <c r="B165" s="1682"/>
      <c r="C165" s="1682"/>
      <c r="D165" s="347"/>
      <c r="J165" s="4461"/>
      <c r="K165" s="4461"/>
      <c r="L165" s="4461"/>
      <c r="M165" s="1174"/>
      <c r="N165" s="1682"/>
      <c r="O165" s="1682"/>
      <c r="P165" s="1174"/>
      <c r="Q165" s="1174"/>
      <c r="R165" s="1174"/>
      <c r="S165" s="1174"/>
      <c r="T165" s="1682"/>
      <c r="U165" s="1174"/>
      <c r="V165" s="1174"/>
      <c r="W165" s="552"/>
      <c r="X165" s="1174"/>
      <c r="Y165" s="1174"/>
      <c r="Z165" s="1174"/>
      <c r="AA165" s="1174"/>
      <c r="AB165" s="1174"/>
      <c r="AC165" s="1678"/>
      <c r="AD165" s="574"/>
      <c r="AE165" s="574"/>
      <c r="AF165" s="574"/>
      <c r="AG165" s="574"/>
    </row>
    <row s="4362" customFormat="1" customHeight="1" ht="11.25">
      <c r="A166" s="1000"/>
      <c r="B166" s="1682"/>
      <c r="C166" s="1682"/>
      <c r="D166" s="347"/>
      <c r="J166" s="4461"/>
      <c r="K166" s="4461"/>
      <c r="L166" s="4461"/>
      <c r="M166" s="1174"/>
      <c r="N166" s="1682"/>
      <c r="O166" s="1682"/>
      <c r="P166" s="1174"/>
      <c r="Q166" s="1174"/>
      <c r="R166" s="1174"/>
      <c r="S166" s="1174"/>
      <c r="T166" s="1682"/>
      <c r="U166" s="1174"/>
      <c r="V166" s="1174"/>
      <c r="W166" s="552"/>
      <c r="X166" s="1174"/>
      <c r="Y166" s="1174"/>
      <c r="Z166" s="1174"/>
      <c r="AA166" s="1174"/>
      <c r="AB166" s="1174"/>
      <c r="AC166" s="1678"/>
      <c r="AD166" s="574"/>
      <c r="AE166" s="574"/>
      <c r="AF166" s="574"/>
      <c r="AG166" s="574"/>
    </row>
    <row s="4362" customFormat="1" customHeight="1" ht="11.25">
      <c r="A167" s="1000"/>
      <c r="B167" s="1682"/>
      <c r="C167" s="1682"/>
      <c r="D167" s="347"/>
      <c r="J167" s="4461"/>
      <c r="K167" s="4461"/>
      <c r="L167" s="4461"/>
      <c r="M167" s="1174"/>
      <c r="N167" s="1682"/>
      <c r="O167" s="1682"/>
      <c r="P167" s="1174"/>
      <c r="Q167" s="1174"/>
      <c r="R167" s="1174"/>
      <c r="S167" s="1174"/>
      <c r="T167" s="1682"/>
      <c r="U167" s="1174"/>
      <c r="V167" s="1174"/>
      <c r="W167" s="552"/>
      <c r="X167" s="1174"/>
      <c r="Y167" s="1174"/>
      <c r="Z167" s="1174"/>
      <c r="AA167" s="1174"/>
      <c r="AB167" s="1174"/>
      <c r="AC167" s="1678"/>
      <c r="AD167" s="574"/>
      <c r="AE167" s="574"/>
      <c r="AF167" s="574"/>
      <c r="AG167" s="574"/>
    </row>
    <row s="4362" customFormat="1" customHeight="1" ht="11.25">
      <c r="A168" s="1000"/>
      <c r="B168" s="1682"/>
      <c r="C168" s="1682"/>
      <c r="D168" s="347"/>
      <c r="J168" s="4461"/>
      <c r="K168" s="4461"/>
      <c r="L168" s="4461"/>
      <c r="M168" s="1174"/>
      <c r="N168" s="1682"/>
      <c r="O168" s="1682"/>
      <c r="P168" s="1174"/>
      <c r="Q168" s="1174"/>
      <c r="R168" s="1174"/>
      <c r="S168" s="1174"/>
      <c r="T168" s="1682"/>
      <c r="U168" s="1174"/>
      <c r="V168" s="1174"/>
      <c r="W168" s="552"/>
      <c r="X168" s="1174"/>
      <c r="Y168" s="1174"/>
      <c r="Z168" s="1174"/>
      <c r="AA168" s="1174"/>
      <c r="AB168" s="1174"/>
      <c r="AC168" s="1678"/>
      <c r="AD168" s="574"/>
      <c r="AE168" s="574"/>
      <c r="AF168" s="574"/>
      <c r="AG168" s="574"/>
    </row>
    <row s="4362" customFormat="1" customHeight="1" ht="11.25">
      <c r="A169" s="1000"/>
      <c r="B169" s="1682"/>
      <c r="C169" s="1682"/>
      <c r="D169" s="347"/>
      <c r="J169" s="4461"/>
      <c r="K169" s="4461"/>
      <c r="L169" s="4461"/>
      <c r="M169" s="1174"/>
      <c r="N169" s="1682"/>
      <c r="O169" s="1682"/>
      <c r="P169" s="1174"/>
      <c r="Q169" s="1174"/>
      <c r="R169" s="1174"/>
      <c r="S169" s="1174"/>
      <c r="T169" s="1682"/>
      <c r="U169" s="1174"/>
      <c r="V169" s="1174"/>
      <c r="W169" s="552"/>
      <c r="X169" s="1174"/>
      <c r="Y169" s="1174"/>
      <c r="Z169" s="1174"/>
      <c r="AA169" s="1174"/>
      <c r="AB169" s="1174"/>
      <c r="AC169" s="1678"/>
      <c r="AD169" s="574"/>
      <c r="AE169" s="574"/>
      <c r="AF169" s="574"/>
      <c r="AG169" s="574"/>
    </row>
    <row s="4362" customFormat="1" customHeight="1" ht="11.25">
      <c r="A170" s="1000"/>
      <c r="B170" s="1682"/>
      <c r="C170" s="1682"/>
      <c r="D170" s="347"/>
      <c r="J170" s="4461"/>
      <c r="K170" s="4461"/>
      <c r="L170" s="4461"/>
      <c r="M170" s="1174"/>
      <c r="N170" s="1682"/>
      <c r="O170" s="1682"/>
      <c r="P170" s="1174"/>
      <c r="Q170" s="1174"/>
      <c r="R170" s="1174"/>
      <c r="S170" s="1174"/>
      <c r="T170" s="1682"/>
      <c r="U170" s="1174"/>
      <c r="V170" s="1174"/>
      <c r="W170" s="552"/>
      <c r="X170" s="1174"/>
      <c r="Y170" s="1174"/>
      <c r="Z170" s="1174"/>
      <c r="AA170" s="1174"/>
      <c r="AB170" s="1174"/>
      <c r="AC170" s="1678"/>
      <c r="AD170" s="574"/>
      <c r="AE170" s="574"/>
      <c r="AF170" s="574"/>
      <c r="AG170" s="574"/>
    </row>
    <row s="4362" customFormat="1" customHeight="1" ht="11.25">
      <c r="A171" s="1000"/>
      <c r="B171" s="1682"/>
      <c r="C171" s="1682"/>
      <c r="D171" s="347"/>
      <c r="J171" s="4461"/>
      <c r="K171" s="4461"/>
      <c r="L171" s="4461"/>
      <c r="M171" s="1174"/>
      <c r="N171" s="1682"/>
      <c r="O171" s="1682"/>
      <c r="P171" s="1174"/>
      <c r="Q171" s="1174"/>
      <c r="R171" s="1174"/>
      <c r="S171" s="1174"/>
      <c r="T171" s="1682"/>
      <c r="U171" s="1174"/>
      <c r="V171" s="1174"/>
      <c r="W171" s="552"/>
      <c r="X171" s="1174"/>
      <c r="Y171" s="1174"/>
      <c r="Z171" s="1174"/>
      <c r="AA171" s="1174"/>
      <c r="AB171" s="1174"/>
      <c r="AC171" s="1678"/>
      <c r="AD171" s="574"/>
      <c r="AE171" s="574"/>
      <c r="AF171" s="574"/>
      <c r="AG171" s="574"/>
    </row>
    <row s="4362" customFormat="1" customHeight="1" ht="11.25">
      <c r="A172" s="1000"/>
      <c r="B172" s="1682"/>
      <c r="C172" s="1682"/>
      <c r="D172" s="347"/>
      <c r="J172" s="4461"/>
      <c r="K172" s="4461"/>
      <c r="L172" s="4461"/>
      <c r="M172" s="1174"/>
      <c r="N172" s="1682"/>
      <c r="O172" s="1682"/>
      <c r="P172" s="1174"/>
      <c r="Q172" s="1174"/>
      <c r="R172" s="1174"/>
      <c r="S172" s="1174"/>
      <c r="T172" s="1682"/>
      <c r="U172" s="1174"/>
      <c r="V172" s="1174"/>
      <c r="W172" s="552"/>
      <c r="X172" s="1174"/>
      <c r="Y172" s="1174"/>
      <c r="Z172" s="1174"/>
      <c r="AA172" s="1174"/>
      <c r="AB172" s="1174"/>
      <c r="AC172" s="1678"/>
      <c r="AD172" s="574"/>
      <c r="AE172" s="574"/>
      <c r="AF172" s="574"/>
      <c r="AG172" s="574"/>
    </row>
    <row s="4362" customFormat="1" customHeight="1" ht="11.25">
      <c r="A173" s="1000"/>
      <c r="B173" s="1682"/>
      <c r="C173" s="1682"/>
      <c r="D173" s="347"/>
      <c r="J173" s="4461"/>
      <c r="K173" s="4461"/>
      <c r="L173" s="4461"/>
      <c r="M173" s="1174"/>
      <c r="N173" s="1682"/>
      <c r="O173" s="1682"/>
      <c r="P173" s="1174"/>
      <c r="Q173" s="1174"/>
      <c r="R173" s="1174"/>
      <c r="S173" s="1174"/>
      <c r="T173" s="1682"/>
      <c r="U173" s="1174"/>
      <c r="V173" s="1174"/>
      <c r="W173" s="552"/>
      <c r="X173" s="1174"/>
      <c r="Y173" s="1174"/>
      <c r="Z173" s="1174"/>
      <c r="AA173" s="1174"/>
      <c r="AB173" s="1174"/>
      <c r="AC173" s="1678"/>
      <c r="AD173" s="574"/>
      <c r="AE173" s="574"/>
      <c r="AF173" s="574"/>
      <c r="AG173" s="574"/>
    </row>
    <row s="4362" customFormat="1" customHeight="1" ht="11.25">
      <c r="A174" s="1000"/>
      <c r="B174" s="1682"/>
      <c r="C174" s="1682"/>
      <c r="D174" s="347"/>
      <c r="J174" s="4461"/>
      <c r="K174" s="4461"/>
      <c r="L174" s="4461"/>
      <c r="M174" s="1174"/>
      <c r="N174" s="1682"/>
      <c r="O174" s="1682"/>
      <c r="P174" s="1174"/>
      <c r="Q174" s="1174"/>
      <c r="R174" s="1174"/>
      <c r="S174" s="1174"/>
      <c r="T174" s="1682"/>
      <c r="U174" s="1174"/>
      <c r="V174" s="1174"/>
      <c r="W174" s="552"/>
      <c r="X174" s="1174"/>
      <c r="Y174" s="1174"/>
      <c r="Z174" s="1174"/>
      <c r="AA174" s="1174"/>
      <c r="AB174" s="1174"/>
      <c r="AC174" s="1678"/>
      <c r="AD174" s="574"/>
      <c r="AE174" s="574"/>
      <c r="AF174" s="574"/>
      <c r="AG174" s="574"/>
    </row>
    <row s="4362" customFormat="1" customHeight="1" ht="11.25">
      <c r="A175" s="1000"/>
      <c r="B175" s="1682"/>
      <c r="C175" s="1682"/>
      <c r="D175" s="347"/>
      <c r="J175" s="4461"/>
      <c r="K175" s="4461"/>
      <c r="L175" s="4461"/>
      <c r="M175" s="1174"/>
      <c r="N175" s="1682"/>
      <c r="O175" s="1682"/>
      <c r="P175" s="1174"/>
      <c r="Q175" s="1174"/>
      <c r="R175" s="1174"/>
      <c r="S175" s="1174"/>
      <c r="T175" s="1682"/>
      <c r="U175" s="1174"/>
      <c r="V175" s="1174"/>
      <c r="W175" s="552"/>
      <c r="X175" s="1174"/>
      <c r="Y175" s="1174"/>
      <c r="Z175" s="1174"/>
      <c r="AA175" s="1174"/>
      <c r="AB175" s="1174"/>
      <c r="AC175" s="1678"/>
      <c r="AD175" s="574"/>
      <c r="AE175" s="574"/>
      <c r="AF175" s="574"/>
      <c r="AG175" s="574"/>
    </row>
    <row s="4362" customFormat="1" customHeight="1" ht="11.25">
      <c r="A176" s="1000"/>
      <c r="B176" s="1682"/>
      <c r="C176" s="1682"/>
      <c r="D176" s="347"/>
      <c r="J176" s="4461"/>
      <c r="K176" s="4461"/>
      <c r="L176" s="4461"/>
      <c r="M176" s="1174"/>
      <c r="N176" s="1682"/>
      <c r="O176" s="1682"/>
      <c r="P176" s="1174"/>
      <c r="Q176" s="1174"/>
      <c r="R176" s="1174"/>
      <c r="S176" s="1174"/>
      <c r="T176" s="1682"/>
      <c r="U176" s="1174"/>
      <c r="V176" s="1174"/>
      <c r="W176" s="552"/>
      <c r="X176" s="1174"/>
      <c r="Y176" s="1174"/>
      <c r="Z176" s="1174"/>
      <c r="AA176" s="1174"/>
      <c r="AB176" s="1174"/>
      <c r="AC176" s="1678"/>
      <c r="AD176" s="574"/>
      <c r="AE176" s="574"/>
      <c r="AF176" s="574"/>
      <c r="AG176" s="574"/>
    </row>
    <row s="4362" customFormat="1" customHeight="1" ht="11.25">
      <c r="A177" s="1000"/>
      <c r="B177" s="1682"/>
      <c r="C177" s="1682"/>
      <c r="D177" s="347"/>
      <c r="J177" s="4461"/>
      <c r="K177" s="4461"/>
      <c r="L177" s="4461"/>
      <c r="M177" s="1174"/>
      <c r="N177" s="1682"/>
      <c r="O177" s="1682"/>
      <c r="P177" s="1174"/>
      <c r="Q177" s="1174"/>
      <c r="R177" s="1174"/>
      <c r="S177" s="1174"/>
      <c r="T177" s="1682"/>
      <c r="U177" s="1174"/>
      <c r="V177" s="1174"/>
      <c r="W177" s="552"/>
      <c r="X177" s="1174"/>
      <c r="Y177" s="1174"/>
      <c r="Z177" s="1174"/>
      <c r="AA177" s="1174"/>
      <c r="AB177" s="1174"/>
      <c r="AC177" s="1678"/>
      <c r="AD177" s="574"/>
      <c r="AE177" s="574"/>
      <c r="AF177" s="574"/>
      <c r="AG177" s="574"/>
    </row>
    <row s="4362" customFormat="1" customHeight="1" ht="11.25">
      <c r="A178" s="1000"/>
      <c r="B178" s="1682"/>
      <c r="C178" s="1682"/>
      <c r="D178" s="347"/>
      <c r="J178" s="4461"/>
      <c r="K178" s="4461"/>
      <c r="L178" s="4461"/>
      <c r="M178" s="1174"/>
      <c r="N178" s="1682"/>
      <c r="O178" s="1682"/>
      <c r="P178" s="1174"/>
      <c r="Q178" s="1174"/>
      <c r="R178" s="1174"/>
      <c r="S178" s="1174"/>
      <c r="T178" s="1682"/>
      <c r="U178" s="1174"/>
      <c r="V178" s="1174"/>
      <c r="W178" s="552"/>
      <c r="X178" s="1174"/>
      <c r="Y178" s="1174"/>
      <c r="Z178" s="1174"/>
      <c r="AA178" s="1174"/>
      <c r="AB178" s="1174"/>
      <c r="AC178" s="1678"/>
      <c r="AD178" s="574"/>
      <c r="AE178" s="574"/>
      <c r="AF178" s="574"/>
      <c r="AG178" s="574"/>
    </row>
    <row s="4362" customFormat="1" customHeight="1" ht="11.25">
      <c r="A179" s="1000"/>
      <c r="B179" s="1682"/>
      <c r="C179" s="1682"/>
      <c r="D179" s="347"/>
      <c r="J179" s="4461"/>
      <c r="K179" s="4461"/>
      <c r="L179" s="4461"/>
      <c r="M179" s="1174"/>
      <c r="N179" s="1682"/>
      <c r="O179" s="1682"/>
      <c r="P179" s="1174"/>
      <c r="Q179" s="1174"/>
      <c r="R179" s="1174"/>
      <c r="S179" s="1174"/>
      <c r="T179" s="1682"/>
      <c r="U179" s="1174"/>
      <c r="V179" s="1174"/>
      <c r="W179" s="552"/>
      <c r="X179" s="1174"/>
      <c r="Y179" s="1174"/>
      <c r="Z179" s="1174"/>
      <c r="AA179" s="1174"/>
      <c r="AB179" s="1174"/>
      <c r="AC179" s="1678"/>
      <c r="AD179" s="574"/>
      <c r="AE179" s="574"/>
      <c r="AF179" s="574"/>
      <c r="AG179" s="574"/>
    </row>
    <row s="4362" customFormat="1" customHeight="1" ht="11.25">
      <c r="A180" s="1000"/>
      <c r="B180" s="1682"/>
      <c r="C180" s="1682"/>
      <c r="D180" s="347"/>
      <c r="J180" s="4461"/>
      <c r="K180" s="4461"/>
      <c r="L180" s="4461"/>
      <c r="M180" s="1174"/>
      <c r="N180" s="1682"/>
      <c r="O180" s="1682"/>
      <c r="P180" s="1174"/>
      <c r="Q180" s="1174"/>
      <c r="R180" s="1174"/>
      <c r="S180" s="1174"/>
      <c r="T180" s="1682"/>
      <c r="U180" s="1174"/>
      <c r="V180" s="1174"/>
      <c r="W180" s="552"/>
      <c r="X180" s="1174"/>
      <c r="Y180" s="1174"/>
      <c r="Z180" s="1174"/>
      <c r="AA180" s="1174"/>
      <c r="AB180" s="1174"/>
      <c r="AC180" s="1678"/>
      <c r="AD180" s="574"/>
      <c r="AE180" s="574"/>
      <c r="AF180" s="574"/>
      <c r="AG180" s="574"/>
    </row>
    <row s="4362" customFormat="1" customHeight="1" ht="11.25">
      <c r="A181" s="1000"/>
      <c r="B181" s="1682"/>
      <c r="C181" s="1682"/>
      <c r="D181" s="347"/>
      <c r="J181" s="4461"/>
      <c r="K181" s="4461"/>
      <c r="L181" s="4461"/>
      <c r="M181" s="1174"/>
      <c r="N181" s="1682"/>
      <c r="O181" s="1682"/>
      <c r="P181" s="1174"/>
      <c r="Q181" s="1174"/>
      <c r="R181" s="1174"/>
      <c r="S181" s="1174"/>
      <c r="T181" s="1682"/>
      <c r="U181" s="1174"/>
      <c r="V181" s="1174"/>
      <c r="W181" s="552"/>
      <c r="X181" s="1174"/>
      <c r="Y181" s="1174"/>
      <c r="Z181" s="1174"/>
      <c r="AA181" s="1174"/>
      <c r="AB181" s="1174"/>
      <c r="AC181" s="1678"/>
      <c r="AD181" s="574"/>
      <c r="AE181" s="574"/>
      <c r="AF181" s="574"/>
      <c r="AG181" s="574"/>
    </row>
    <row s="4362" customFormat="1" customHeight="1" ht="11.25">
      <c r="A182" s="1000"/>
      <c r="B182" s="1682"/>
      <c r="C182" s="1682"/>
      <c r="D182" s="347"/>
      <c r="J182" s="4461"/>
      <c r="K182" s="4461"/>
      <c r="L182" s="4461"/>
      <c r="M182" s="1174"/>
      <c r="N182" s="1682"/>
      <c r="O182" s="1682"/>
      <c r="P182" s="1174"/>
      <c r="Q182" s="1174"/>
      <c r="R182" s="1174"/>
      <c r="S182" s="1174"/>
      <c r="T182" s="1682"/>
      <c r="U182" s="1174"/>
      <c r="V182" s="1174"/>
      <c r="W182" s="552"/>
      <c r="X182" s="1174"/>
      <c r="Y182" s="1174"/>
      <c r="Z182" s="1174"/>
      <c r="AA182" s="1174"/>
      <c r="AB182" s="1174"/>
      <c r="AC182" s="1678"/>
      <c r="AD182" s="574"/>
      <c r="AE182" s="574"/>
      <c r="AF182" s="574"/>
      <c r="AG182" s="574"/>
    </row>
    <row s="4362" customFormat="1" customHeight="1" ht="11.25">
      <c r="A183" s="1000"/>
      <c r="B183" s="1682"/>
      <c r="C183" s="1682"/>
      <c r="D183" s="347"/>
      <c r="J183" s="4461"/>
      <c r="K183" s="4461"/>
      <c r="L183" s="4461"/>
      <c r="M183" s="1174"/>
      <c r="N183" s="1682"/>
      <c r="O183" s="1682"/>
      <c r="P183" s="1174"/>
      <c r="Q183" s="1174"/>
      <c r="R183" s="1174"/>
      <c r="S183" s="1174"/>
      <c r="T183" s="1682"/>
      <c r="U183" s="1174"/>
      <c r="V183" s="1174"/>
      <c r="W183" s="552"/>
      <c r="X183" s="1174"/>
      <c r="Y183" s="1174"/>
      <c r="Z183" s="1174"/>
      <c r="AA183" s="1174"/>
      <c r="AB183" s="1174"/>
      <c r="AC183" s="1678"/>
      <c r="AD183" s="574"/>
      <c r="AE183" s="574"/>
      <c r="AF183" s="574"/>
      <c r="AG183" s="574"/>
    </row>
    <row s="4362" customFormat="1" customHeight="1" ht="11.25">
      <c r="A184" s="1000"/>
      <c r="B184" s="1682"/>
      <c r="C184" s="1682"/>
      <c r="D184" s="347"/>
      <c r="J184" s="4461"/>
      <c r="K184" s="4461"/>
      <c r="L184" s="4461"/>
      <c r="M184" s="1174"/>
      <c r="N184" s="1682"/>
      <c r="O184" s="1682"/>
      <c r="P184" s="1174"/>
      <c r="Q184" s="1174"/>
      <c r="R184" s="1174"/>
      <c r="S184" s="1174"/>
      <c r="T184" s="1682"/>
      <c r="U184" s="1174"/>
      <c r="V184" s="1174"/>
      <c r="W184" s="552"/>
      <c r="X184" s="1174"/>
      <c r="Y184" s="1174"/>
      <c r="Z184" s="1174"/>
      <c r="AA184" s="1174"/>
      <c r="AB184" s="1174"/>
      <c r="AC184" s="1678"/>
      <c r="AD184" s="574"/>
      <c r="AE184" s="574"/>
      <c r="AF184" s="574"/>
      <c r="AG184" s="574"/>
    </row>
    <row s="4362" customFormat="1" customHeight="1" ht="11.25">
      <c r="A185" s="1000"/>
      <c r="B185" s="1682"/>
      <c r="C185" s="1682"/>
      <c r="D185" s="347"/>
      <c r="J185" s="4461"/>
      <c r="K185" s="4461"/>
      <c r="L185" s="4461"/>
      <c r="M185" s="1174"/>
      <c r="N185" s="1682"/>
      <c r="O185" s="1682"/>
      <c r="P185" s="1174"/>
      <c r="Q185" s="1174"/>
      <c r="R185" s="1174"/>
      <c r="S185" s="1174"/>
      <c r="T185" s="1682"/>
      <c r="U185" s="1174"/>
      <c r="V185" s="1174"/>
      <c r="W185" s="552"/>
      <c r="X185" s="1174"/>
      <c r="Y185" s="1174"/>
      <c r="Z185" s="1174"/>
      <c r="AA185" s="1174"/>
      <c r="AB185" s="1174"/>
      <c r="AC185" s="1678"/>
      <c r="AD185" s="574"/>
      <c r="AE185" s="574"/>
      <c r="AF185" s="574"/>
      <c r="AG185" s="574"/>
    </row>
    <row s="4362" customFormat="1" customHeight="1" ht="11.25">
      <c r="A186" s="1000"/>
      <c r="B186" s="1682"/>
      <c r="C186" s="1682"/>
      <c r="D186" s="347"/>
      <c r="J186" s="4461"/>
      <c r="K186" s="4461"/>
      <c r="L186" s="4461"/>
      <c r="M186" s="1174"/>
      <c r="N186" s="1682"/>
      <c r="O186" s="1682"/>
      <c r="P186" s="1174"/>
      <c r="Q186" s="1174"/>
      <c r="R186" s="1174"/>
      <c r="S186" s="1174"/>
      <c r="T186" s="1682"/>
      <c r="U186" s="1174"/>
      <c r="V186" s="1174"/>
      <c r="W186" s="552"/>
      <c r="X186" s="1174"/>
      <c r="Y186" s="1174"/>
      <c r="Z186" s="1174"/>
      <c r="AA186" s="1174"/>
      <c r="AB186" s="1174"/>
      <c r="AC186" s="1678"/>
      <c r="AD186" s="574"/>
      <c r="AE186" s="574"/>
      <c r="AF186" s="574"/>
      <c r="AG186" s="574"/>
    </row>
    <row s="4362" customFormat="1" customHeight="1" ht="11.25">
      <c r="A187" s="1000"/>
      <c r="B187" s="1682"/>
      <c r="C187" s="1682"/>
      <c r="D187" s="347"/>
      <c r="J187" s="4461"/>
      <c r="K187" s="4461"/>
      <c r="L187" s="4461"/>
      <c r="M187" s="1174"/>
      <c r="N187" s="1682"/>
      <c r="O187" s="1682"/>
      <c r="P187" s="1174"/>
      <c r="Q187" s="1174"/>
      <c r="R187" s="1174"/>
      <c r="S187" s="1174"/>
      <c r="T187" s="1682"/>
      <c r="U187" s="1174"/>
      <c r="V187" s="1174"/>
      <c r="W187" s="552"/>
      <c r="X187" s="1174"/>
      <c r="Y187" s="1174"/>
      <c r="Z187" s="1174"/>
      <c r="AA187" s="1174"/>
      <c r="AB187" s="1174"/>
      <c r="AC187" s="1678"/>
      <c r="AD187" s="574"/>
      <c r="AE187" s="574"/>
      <c r="AF187" s="574"/>
      <c r="AG187" s="574"/>
    </row>
    <row s="4362" customFormat="1" customHeight="1" ht="11.25">
      <c r="A188" s="1000"/>
      <c r="B188" s="1682"/>
      <c r="C188" s="1682"/>
      <c r="D188" s="347"/>
      <c r="J188" s="4461"/>
      <c r="K188" s="4461"/>
      <c r="L188" s="4461"/>
      <c r="M188" s="1174"/>
      <c r="N188" s="1682"/>
      <c r="O188" s="1682"/>
      <c r="P188" s="1174"/>
      <c r="Q188" s="1174"/>
      <c r="R188" s="1174"/>
      <c r="S188" s="1174"/>
      <c r="T188" s="1682"/>
      <c r="U188" s="1174"/>
      <c r="V188" s="1174"/>
      <c r="W188" s="552"/>
      <c r="X188" s="1174"/>
      <c r="Y188" s="1174"/>
      <c r="Z188" s="1174"/>
      <c r="AA188" s="1174"/>
      <c r="AB188" s="1174"/>
      <c r="AC188" s="1678"/>
      <c r="AD188" s="574"/>
      <c r="AE188" s="574"/>
      <c r="AF188" s="574"/>
      <c r="AG188" s="574"/>
    </row>
    <row s="4362" customFormat="1" customHeight="1" ht="11.25">
      <c r="A189" s="1000"/>
      <c r="B189" s="1682"/>
      <c r="C189" s="1682"/>
      <c r="D189" s="347"/>
      <c r="J189" s="4461"/>
      <c r="K189" s="4461"/>
      <c r="L189" s="4461"/>
      <c r="M189" s="1174"/>
      <c r="N189" s="1682"/>
      <c r="O189" s="1682"/>
      <c r="P189" s="1174"/>
      <c r="Q189" s="1174"/>
      <c r="R189" s="1174"/>
      <c r="S189" s="1174"/>
      <c r="T189" s="1682"/>
      <c r="U189" s="1174"/>
      <c r="V189" s="1174"/>
      <c r="W189" s="552"/>
      <c r="X189" s="1174"/>
      <c r="Y189" s="1174"/>
      <c r="Z189" s="1174"/>
      <c r="AA189" s="1174"/>
      <c r="AB189" s="1174"/>
      <c r="AC189" s="1678"/>
      <c r="AD189" s="574"/>
      <c r="AE189" s="574"/>
      <c r="AF189" s="574"/>
      <c r="AG189" s="574"/>
    </row>
    <row s="4362" customFormat="1" customHeight="1" ht="11.25">
      <c r="A190" s="1000"/>
      <c r="B190" s="1682"/>
      <c r="C190" s="1682"/>
      <c r="D190" s="347"/>
      <c r="J190" s="4461"/>
      <c r="K190" s="4461"/>
      <c r="L190" s="4461"/>
      <c r="M190" s="1174"/>
      <c r="N190" s="1682"/>
      <c r="O190" s="1682"/>
      <c r="P190" s="1174"/>
      <c r="Q190" s="1174"/>
      <c r="R190" s="1174"/>
      <c r="S190" s="1174"/>
      <c r="T190" s="1682"/>
      <c r="U190" s="1174"/>
      <c r="V190" s="1174"/>
      <c r="W190" s="552"/>
      <c r="X190" s="1174"/>
      <c r="Y190" s="1174"/>
      <c r="Z190" s="1174"/>
      <c r="AA190" s="1174"/>
      <c r="AB190" s="1174"/>
      <c r="AC190" s="1678"/>
      <c r="AD190" s="574"/>
      <c r="AE190" s="574"/>
      <c r="AF190" s="574"/>
      <c r="AG190" s="574"/>
    </row>
    <row s="4362" customFormat="1" customHeight="1" ht="11.25">
      <c r="A191" s="1000"/>
      <c r="B191" s="1682"/>
      <c r="C191" s="1682"/>
      <c r="D191" s="347"/>
      <c r="J191" s="4461"/>
      <c r="K191" s="4461"/>
      <c r="L191" s="4461"/>
      <c r="M191" s="1174"/>
      <c r="N191" s="1682"/>
      <c r="O191" s="1682"/>
      <c r="P191" s="1174"/>
      <c r="Q191" s="1174"/>
      <c r="R191" s="1174"/>
      <c r="S191" s="1174"/>
      <c r="T191" s="1682"/>
      <c r="U191" s="1174"/>
      <c r="V191" s="1174"/>
      <c r="W191" s="552"/>
      <c r="X191" s="1174"/>
      <c r="Y191" s="1174"/>
      <c r="Z191" s="1174"/>
      <c r="AA191" s="1174"/>
      <c r="AB191" s="1174"/>
      <c r="AC191" s="1678"/>
      <c r="AD191" s="574"/>
      <c r="AE191" s="574"/>
      <c r="AF191" s="574"/>
      <c r="AG191" s="574"/>
    </row>
    <row s="4362" customFormat="1" customHeight="1" ht="11.25">
      <c r="A192" s="1000"/>
      <c r="B192" s="1682"/>
      <c r="C192" s="1682"/>
      <c r="D192" s="347"/>
      <c r="J192" s="4461"/>
      <c r="K192" s="4461"/>
      <c r="L192" s="4461"/>
      <c r="M192" s="1174"/>
      <c r="N192" s="1682"/>
      <c r="O192" s="1682"/>
      <c r="P192" s="1174"/>
      <c r="Q192" s="1174"/>
      <c r="R192" s="1174"/>
      <c r="S192" s="1174"/>
      <c r="T192" s="1682"/>
      <c r="U192" s="1174"/>
      <c r="V192" s="1174"/>
      <c r="W192" s="552"/>
      <c r="X192" s="1174"/>
      <c r="Y192" s="1174"/>
      <c r="Z192" s="1174"/>
      <c r="AA192" s="1174"/>
      <c r="AB192" s="1174"/>
      <c r="AC192" s="1678"/>
      <c r="AD192" s="574"/>
      <c r="AE192" s="574"/>
      <c r="AF192" s="574"/>
      <c r="AG192" s="574"/>
    </row>
    <row s="4362" customFormat="1" customHeight="1" ht="11.25">
      <c r="A193" s="1000"/>
      <c r="B193" s="1682"/>
      <c r="C193" s="1682"/>
      <c r="D193" s="347"/>
      <c r="J193" s="4461"/>
      <c r="K193" s="4461"/>
      <c r="L193" s="4461"/>
      <c r="M193" s="1174"/>
      <c r="N193" s="1682"/>
      <c r="O193" s="1682"/>
      <c r="P193" s="1174"/>
      <c r="Q193" s="1174"/>
      <c r="R193" s="1174"/>
      <c r="S193" s="1174"/>
      <c r="T193" s="1682"/>
      <c r="U193" s="1174"/>
      <c r="V193" s="1174"/>
      <c r="W193" s="552"/>
      <c r="X193" s="1174"/>
      <c r="Y193" s="1174"/>
      <c r="Z193" s="1174"/>
      <c r="AA193" s="1174"/>
      <c r="AB193" s="1174"/>
      <c r="AC193" s="1678"/>
      <c r="AD193" s="574"/>
      <c r="AE193" s="574"/>
      <c r="AF193" s="574"/>
      <c r="AG193" s="574"/>
    </row>
    <row s="4362" customFormat="1" customHeight="1" ht="11.25">
      <c r="A194" s="1000"/>
      <c r="B194" s="1682"/>
      <c r="C194" s="1682"/>
      <c r="D194" s="347"/>
      <c r="J194" s="4461"/>
      <c r="K194" s="4461"/>
      <c r="L194" s="4461"/>
      <c r="M194" s="1174"/>
      <c r="N194" s="1682"/>
      <c r="O194" s="1682"/>
      <c r="P194" s="1174"/>
      <c r="Q194" s="1174"/>
      <c r="R194" s="1174"/>
      <c r="S194" s="1174"/>
      <c r="T194" s="1682"/>
      <c r="U194" s="1174"/>
      <c r="V194" s="1174"/>
      <c r="W194" s="552"/>
      <c r="X194" s="1174"/>
      <c r="Y194" s="1174"/>
      <c r="Z194" s="1174"/>
      <c r="AA194" s="1174"/>
      <c r="AB194" s="1174"/>
      <c r="AC194" s="1678"/>
      <c r="AD194" s="574"/>
      <c r="AE194" s="574"/>
      <c r="AF194" s="574"/>
      <c r="AG194" s="574"/>
    </row>
    <row s="4362" customFormat="1" customHeight="1" ht="11.25">
      <c r="A195" s="1000"/>
      <c r="B195" s="1682"/>
      <c r="C195" s="1682"/>
      <c r="D195" s="347"/>
      <c r="J195" s="4461"/>
      <c r="K195" s="4461"/>
      <c r="L195" s="4461"/>
      <c r="M195" s="1174"/>
      <c r="N195" s="1682"/>
      <c r="O195" s="1682"/>
      <c r="P195" s="1174"/>
      <c r="Q195" s="1174"/>
      <c r="R195" s="1174"/>
      <c r="S195" s="1174"/>
      <c r="T195" s="1682"/>
      <c r="U195" s="1174"/>
      <c r="V195" s="1174"/>
      <c r="W195" s="552"/>
      <c r="X195" s="1174"/>
      <c r="Y195" s="1174"/>
      <c r="Z195" s="1174"/>
      <c r="AA195" s="1174"/>
      <c r="AB195" s="1174"/>
      <c r="AC195" s="1678"/>
      <c r="AD195" s="574"/>
      <c r="AE195" s="574"/>
      <c r="AF195" s="574"/>
      <c r="AG195" s="574"/>
    </row>
    <row s="4362" customFormat="1" customHeight="1" ht="11.25">
      <c r="A196" s="1000"/>
      <c r="B196" s="1682"/>
      <c r="C196" s="1682"/>
      <c r="D196" s="347"/>
      <c r="J196" s="4461"/>
      <c r="K196" s="4461"/>
      <c r="L196" s="4461"/>
      <c r="M196" s="1174"/>
      <c r="N196" s="1682"/>
      <c r="O196" s="1682"/>
      <c r="P196" s="1174"/>
      <c r="Q196" s="1174"/>
      <c r="R196" s="1174"/>
      <c r="S196" s="1174"/>
      <c r="T196" s="1682"/>
      <c r="U196" s="1174"/>
      <c r="V196" s="1174"/>
      <c r="W196" s="552"/>
      <c r="X196" s="1174"/>
      <c r="Y196" s="1174"/>
      <c r="Z196" s="1174"/>
      <c r="AA196" s="1174"/>
      <c r="AB196" s="1174"/>
      <c r="AC196" s="1678"/>
      <c r="AD196" s="574"/>
      <c r="AE196" s="574"/>
      <c r="AF196" s="574"/>
      <c r="AG196" s="574"/>
    </row>
    <row s="4362" customFormat="1" customHeight="1" ht="11.25">
      <c r="A197" s="1000"/>
      <c r="B197" s="1682"/>
      <c r="C197" s="1682"/>
      <c r="D197" s="347"/>
      <c r="J197" s="4461"/>
      <c r="K197" s="4461"/>
      <c r="L197" s="4461"/>
      <c r="M197" s="1174"/>
      <c r="N197" s="1682"/>
      <c r="O197" s="1682"/>
      <c r="P197" s="1174"/>
      <c r="Q197" s="1174"/>
      <c r="R197" s="1174"/>
      <c r="S197" s="1174"/>
      <c r="T197" s="1682"/>
      <c r="U197" s="1174"/>
      <c r="V197" s="1174"/>
      <c r="W197" s="552"/>
      <c r="X197" s="1174"/>
      <c r="Y197" s="1174"/>
      <c r="Z197" s="1174"/>
      <c r="AA197" s="1174"/>
      <c r="AB197" s="1174"/>
      <c r="AC197" s="1678"/>
      <c r="AD197" s="574"/>
      <c r="AE197" s="574"/>
      <c r="AF197" s="574"/>
      <c r="AG197" s="574"/>
    </row>
    <row s="4362" customFormat="1" customHeight="1" ht="11.25">
      <c r="A198" s="1000"/>
      <c r="B198" s="1682"/>
      <c r="C198" s="1682"/>
      <c r="D198" s="347"/>
      <c r="J198" s="4461"/>
      <c r="K198" s="4461"/>
      <c r="L198" s="4461"/>
      <c r="M198" s="1174"/>
      <c r="N198" s="1682"/>
      <c r="O198" s="1682"/>
      <c r="P198" s="1174"/>
      <c r="Q198" s="1174"/>
      <c r="R198" s="1174"/>
      <c r="S198" s="1174"/>
      <c r="T198" s="1682"/>
      <c r="U198" s="1174"/>
      <c r="V198" s="1174"/>
      <c r="W198" s="552"/>
      <c r="X198" s="1174"/>
      <c r="Y198" s="1174"/>
      <c r="Z198" s="1174"/>
      <c r="AA198" s="1174"/>
      <c r="AB198" s="1174"/>
      <c r="AC198" s="1678"/>
      <c r="AD198" s="574"/>
      <c r="AE198" s="574"/>
      <c r="AF198" s="574"/>
      <c r="AG198" s="574"/>
    </row>
    <row s="4362" customFormat="1" customHeight="1" ht="11.25">
      <c r="A199" s="1000"/>
      <c r="B199" s="1682"/>
      <c r="C199" s="1682"/>
      <c r="D199" s="347"/>
      <c r="J199" s="4461"/>
      <c r="K199" s="4461"/>
      <c r="L199" s="4461"/>
      <c r="M199" s="1174"/>
      <c r="N199" s="1682"/>
      <c r="O199" s="1682"/>
      <c r="P199" s="1174"/>
      <c r="Q199" s="1174"/>
      <c r="R199" s="1174"/>
      <c r="S199" s="1174"/>
      <c r="T199" s="1682"/>
      <c r="U199" s="1174"/>
      <c r="V199" s="1174"/>
      <c r="W199" s="552"/>
      <c r="X199" s="1174"/>
      <c r="Y199" s="1174"/>
      <c r="Z199" s="1174"/>
      <c r="AA199" s="1174"/>
      <c r="AB199" s="1174"/>
      <c r="AC199" s="1678"/>
      <c r="AD199" s="574"/>
      <c r="AE199" s="574"/>
      <c r="AF199" s="574"/>
      <c r="AG199" s="574"/>
    </row>
    <row s="4362" customFormat="1" customHeight="1" ht="11.25">
      <c r="A200" s="1000"/>
      <c r="B200" s="1682"/>
      <c r="C200" s="1682"/>
      <c r="D200" s="347"/>
      <c r="J200" s="4461"/>
      <c r="K200" s="4461"/>
      <c r="L200" s="4461"/>
      <c r="M200" s="1174"/>
      <c r="N200" s="1682"/>
      <c r="O200" s="1682"/>
      <c r="P200" s="1174"/>
      <c r="Q200" s="1174"/>
      <c r="R200" s="1174"/>
      <c r="S200" s="1174"/>
      <c r="T200" s="1682"/>
      <c r="U200" s="1174"/>
      <c r="V200" s="1174"/>
      <c r="W200" s="552"/>
      <c r="X200" s="1174"/>
      <c r="Y200" s="1174"/>
      <c r="Z200" s="1174"/>
      <c r="AA200" s="1174"/>
      <c r="AB200" s="1174"/>
      <c r="AC200" s="1678"/>
      <c r="AD200" s="574"/>
      <c r="AE200" s="574"/>
      <c r="AF200" s="574"/>
      <c r="AG200" s="574"/>
    </row>
    <row s="4362" customFormat="1" customHeight="1" ht="11.25">
      <c r="A201" s="1000"/>
      <c r="B201" s="1682"/>
      <c r="C201" s="1682"/>
      <c r="D201" s="347"/>
      <c r="J201" s="4461"/>
      <c r="K201" s="4461"/>
      <c r="L201" s="4461"/>
      <c r="M201" s="1174"/>
      <c r="N201" s="1682"/>
      <c r="O201" s="1682"/>
      <c r="P201" s="1174"/>
      <c r="Q201" s="1174"/>
      <c r="R201" s="1174"/>
      <c r="S201" s="1174"/>
      <c r="T201" s="1682"/>
      <c r="U201" s="1174"/>
      <c r="V201" s="1174"/>
      <c r="W201" s="552"/>
      <c r="X201" s="1174"/>
      <c r="Y201" s="1174"/>
      <c r="Z201" s="1174"/>
      <c r="AA201" s="1174"/>
      <c r="AB201" s="1174"/>
      <c r="AC201" s="1678"/>
      <c r="AD201" s="574"/>
      <c r="AE201" s="574"/>
      <c r="AF201" s="574"/>
      <c r="AG201" s="574"/>
    </row>
    <row s="4362" customFormat="1" customHeight="1" ht="11.25">
      <c r="A202" s="1000"/>
      <c r="B202" s="1682"/>
      <c r="C202" s="1682"/>
      <c r="D202" s="347"/>
      <c r="J202" s="4461"/>
      <c r="K202" s="4461"/>
      <c r="L202" s="4461"/>
      <c r="M202" s="1174"/>
      <c r="N202" s="1682"/>
      <c r="O202" s="1682"/>
      <c r="P202" s="1174"/>
      <c r="Q202" s="1174"/>
      <c r="R202" s="1174"/>
      <c r="S202" s="1174"/>
      <c r="T202" s="1682"/>
      <c r="U202" s="1174"/>
      <c r="V202" s="1174"/>
      <c r="W202" s="552"/>
      <c r="X202" s="1174"/>
      <c r="Y202" s="1174"/>
      <c r="Z202" s="1174"/>
      <c r="AA202" s="1174"/>
      <c r="AB202" s="1174"/>
      <c r="AC202" s="1678"/>
      <c r="AD202" s="574"/>
      <c r="AE202" s="574"/>
      <c r="AF202" s="574"/>
      <c r="AG202" s="574"/>
    </row>
    <row s="4362" customFormat="1" customHeight="1" ht="11.25">
      <c r="A203" s="1000"/>
      <c r="B203" s="1682"/>
      <c r="C203" s="1682"/>
      <c r="D203" s="347"/>
      <c r="J203" s="4461"/>
      <c r="K203" s="4461"/>
      <c r="L203" s="4461"/>
      <c r="M203" s="1174"/>
      <c r="N203" s="1682"/>
      <c r="O203" s="1682"/>
      <c r="P203" s="1174"/>
      <c r="Q203" s="1174"/>
      <c r="R203" s="1174"/>
      <c r="S203" s="1174"/>
      <c r="T203" s="1682"/>
      <c r="U203" s="1174"/>
      <c r="V203" s="1174"/>
      <c r="W203" s="552"/>
      <c r="X203" s="1174"/>
      <c r="Y203" s="1174"/>
      <c r="Z203" s="1174"/>
      <c r="AA203" s="1174"/>
      <c r="AB203" s="1174"/>
      <c r="AC203" s="1678"/>
      <c r="AD203" s="574"/>
      <c r="AE203" s="574"/>
      <c r="AF203" s="574"/>
      <c r="AG203" s="574"/>
    </row>
    <row s="4362" customFormat="1" customHeight="1" ht="11.25">
      <c r="A204" s="1000"/>
      <c r="B204" s="1682"/>
      <c r="C204" s="1682"/>
      <c r="D204" s="347"/>
      <c r="J204" s="4461"/>
      <c r="K204" s="4461"/>
      <c r="L204" s="4461"/>
      <c r="M204" s="1174"/>
      <c r="N204" s="1682"/>
      <c r="O204" s="1682"/>
      <c r="P204" s="1174"/>
      <c r="Q204" s="1174"/>
      <c r="R204" s="1174"/>
      <c r="S204" s="1174"/>
      <c r="T204" s="1682"/>
      <c r="U204" s="1174"/>
      <c r="V204" s="1174"/>
      <c r="W204" s="552"/>
      <c r="X204" s="1174"/>
      <c r="Y204" s="1174"/>
      <c r="Z204" s="1174"/>
      <c r="AA204" s="1174"/>
      <c r="AB204" s="1174"/>
      <c r="AC204" s="1678"/>
      <c r="AD204" s="574"/>
      <c r="AE204" s="574"/>
      <c r="AF204" s="574"/>
      <c r="AG204" s="574"/>
    </row>
    <row s="4362" customFormat="1" customHeight="1" ht="11.25">
      <c r="A205" s="1000"/>
      <c r="B205" s="1682"/>
      <c r="C205" s="1682"/>
      <c r="D205" s="347"/>
      <c r="J205" s="4461"/>
      <c r="K205" s="4461"/>
      <c r="L205" s="4461"/>
      <c r="M205" s="1174"/>
      <c r="N205" s="1682"/>
      <c r="O205" s="1682"/>
      <c r="P205" s="1174"/>
      <c r="Q205" s="1174"/>
      <c r="R205" s="1174"/>
      <c r="S205" s="1174"/>
      <c r="T205" s="1682"/>
      <c r="U205" s="1174"/>
      <c r="V205" s="1174"/>
      <c r="W205" s="552"/>
      <c r="X205" s="1174"/>
      <c r="Y205" s="1174"/>
      <c r="Z205" s="1174"/>
      <c r="AA205" s="1174"/>
      <c r="AB205" s="1174"/>
      <c r="AC205" s="1678"/>
      <c r="AD205" s="574"/>
      <c r="AE205" s="574"/>
      <c r="AF205" s="574"/>
      <c r="AG205" s="574"/>
    </row>
    <row s="4362" customFormat="1" customHeight="1" ht="11.25">
      <c r="A206" s="1000"/>
      <c r="B206" s="1682"/>
      <c r="C206" s="1682"/>
      <c r="D206" s="347"/>
      <c r="J206" s="4461"/>
      <c r="K206" s="4461"/>
      <c r="L206" s="4461"/>
      <c r="M206" s="1174"/>
      <c r="N206" s="1682"/>
      <c r="O206" s="1682"/>
      <c r="P206" s="1174"/>
      <c r="Q206" s="1174"/>
      <c r="R206" s="1174"/>
      <c r="S206" s="1174"/>
      <c r="T206" s="1682"/>
      <c r="U206" s="1174"/>
      <c r="V206" s="1174"/>
      <c r="W206" s="552"/>
      <c r="X206" s="1174"/>
      <c r="Y206" s="1174"/>
      <c r="Z206" s="1174"/>
      <c r="AA206" s="1174"/>
      <c r="AB206" s="1174"/>
      <c r="AC206" s="1678"/>
      <c r="AD206" s="574"/>
      <c r="AE206" s="574"/>
      <c r="AF206" s="574"/>
      <c r="AG206" s="574"/>
    </row>
    <row s="4362" customFormat="1" customHeight="1" ht="11.25">
      <c r="A207" s="1000"/>
      <c r="B207" s="1682"/>
      <c r="C207" s="1682"/>
      <c r="D207" s="347"/>
      <c r="J207" s="4461"/>
      <c r="K207" s="4461"/>
      <c r="L207" s="4461"/>
      <c r="M207" s="1174"/>
      <c r="N207" s="1682"/>
      <c r="O207" s="1682"/>
      <c r="P207" s="1174"/>
      <c r="Q207" s="1174"/>
      <c r="R207" s="1174"/>
      <c r="S207" s="1174"/>
      <c r="T207" s="1682"/>
      <c r="U207" s="1174"/>
      <c r="V207" s="1174"/>
      <c r="W207" s="552"/>
      <c r="X207" s="1174"/>
      <c r="Y207" s="1174"/>
      <c r="Z207" s="1174"/>
      <c r="AA207" s="1174"/>
      <c r="AB207" s="1174"/>
      <c r="AC207" s="1678"/>
      <c r="AD207" s="574"/>
      <c r="AE207" s="574"/>
      <c r="AF207" s="574"/>
      <c r="AG207" s="574"/>
    </row>
    <row s="4362" customFormat="1" customHeight="1" ht="11.25">
      <c r="A208" s="1000"/>
      <c r="B208" s="1682"/>
      <c r="C208" s="1682"/>
      <c r="D208" s="347"/>
      <c r="J208" s="4461"/>
      <c r="K208" s="4461"/>
      <c r="L208" s="4461"/>
      <c r="M208" s="1174"/>
      <c r="N208" s="1682"/>
      <c r="O208" s="1682"/>
      <c r="P208" s="1174"/>
      <c r="Q208" s="1174"/>
      <c r="R208" s="1174"/>
      <c r="S208" s="1174"/>
      <c r="T208" s="1682"/>
      <c r="U208" s="1174"/>
      <c r="V208" s="1174"/>
      <c r="W208" s="552"/>
      <c r="X208" s="1174"/>
      <c r="Y208" s="1174"/>
      <c r="Z208" s="1174"/>
      <c r="AA208" s="1174"/>
      <c r="AB208" s="1174"/>
      <c r="AC208" s="1678"/>
      <c r="AD208" s="574"/>
      <c r="AE208" s="574"/>
      <c r="AF208" s="574"/>
      <c r="AG208" s="574"/>
    </row>
    <row s="4362" customFormat="1" customHeight="1" ht="11.25">
      <c r="A209" s="1000"/>
      <c r="B209" s="1682"/>
      <c r="C209" s="1682"/>
      <c r="D209" s="347"/>
      <c r="J209" s="4461"/>
      <c r="K209" s="4461"/>
      <c r="L209" s="4461"/>
      <c r="M209" s="1174"/>
      <c r="N209" s="1682"/>
      <c r="O209" s="1682"/>
      <c r="P209" s="1174"/>
      <c r="Q209" s="1174"/>
      <c r="R209" s="1174"/>
      <c r="S209" s="1174"/>
      <c r="T209" s="1682"/>
      <c r="U209" s="1174"/>
      <c r="V209" s="1174"/>
      <c r="W209" s="552"/>
      <c r="X209" s="1174"/>
      <c r="Y209" s="1174"/>
      <c r="Z209" s="1174"/>
      <c r="AA209" s="1174"/>
      <c r="AB209" s="1174"/>
      <c r="AC209" s="1678"/>
      <c r="AD209" s="574"/>
      <c r="AE209" s="574"/>
      <c r="AF209" s="574"/>
      <c r="AG209" s="574"/>
    </row>
    <row s="4362" customFormat="1" customHeight="1" ht="11.25">
      <c r="A210" s="1000"/>
      <c r="B210" s="1682"/>
      <c r="C210" s="1682"/>
      <c r="D210" s="347"/>
      <c r="J210" s="4461"/>
      <c r="K210" s="4461"/>
      <c r="L210" s="4461"/>
      <c r="M210" s="1174"/>
      <c r="N210" s="1682"/>
      <c r="O210" s="1682"/>
      <c r="P210" s="1174"/>
      <c r="Q210" s="1174"/>
      <c r="R210" s="1174"/>
      <c r="S210" s="1174"/>
      <c r="T210" s="1682"/>
      <c r="U210" s="1174"/>
      <c r="V210" s="1174"/>
      <c r="W210" s="552"/>
      <c r="X210" s="1174"/>
      <c r="Y210" s="1174"/>
      <c r="Z210" s="1174"/>
      <c r="AA210" s="1174"/>
      <c r="AB210" s="1174"/>
      <c r="AC210" s="1678"/>
      <c r="AD210" s="574"/>
      <c r="AE210" s="574"/>
      <c r="AF210" s="574"/>
      <c r="AG210" s="574"/>
    </row>
    <row s="4362" customFormat="1" customHeight="1" ht="11.25">
      <c r="A211" s="1000"/>
      <c r="B211" s="1682"/>
      <c r="C211" s="1682"/>
      <c r="D211" s="347"/>
      <c r="J211" s="4461"/>
      <c r="K211" s="4461"/>
      <c r="L211" s="4461"/>
      <c r="M211" s="1174"/>
      <c r="N211" s="1682"/>
      <c r="O211" s="1682"/>
      <c r="P211" s="1174"/>
      <c r="Q211" s="1174"/>
      <c r="R211" s="1174"/>
      <c r="S211" s="1174"/>
      <c r="T211" s="1682"/>
      <c r="U211" s="1174"/>
      <c r="V211" s="1174"/>
      <c r="W211" s="552"/>
      <c r="X211" s="1174"/>
      <c r="Y211" s="1174"/>
      <c r="Z211" s="1174"/>
      <c r="AA211" s="1174"/>
      <c r="AB211" s="1174"/>
      <c r="AC211" s="1678"/>
      <c r="AD211" s="574"/>
      <c r="AE211" s="574"/>
      <c r="AF211" s="574"/>
      <c r="AG211" s="574"/>
    </row>
    <row s="4362" customFormat="1" customHeight="1" ht="11.25">
      <c r="A212" s="1000"/>
      <c r="B212" s="1682"/>
      <c r="C212" s="1682"/>
      <c r="D212" s="347"/>
      <c r="J212" s="4461"/>
      <c r="K212" s="4461"/>
      <c r="L212" s="4461"/>
      <c r="M212" s="1174"/>
      <c r="N212" s="1682"/>
      <c r="O212" s="1682"/>
      <c r="P212" s="1174"/>
      <c r="Q212" s="1174"/>
      <c r="R212" s="1174"/>
      <c r="S212" s="1174"/>
      <c r="T212" s="1682"/>
      <c r="U212" s="1174"/>
      <c r="V212" s="1174"/>
      <c r="W212" s="552"/>
      <c r="X212" s="1174"/>
      <c r="Y212" s="1174"/>
      <c r="Z212" s="1174"/>
      <c r="AA212" s="1174"/>
      <c r="AB212" s="1174"/>
      <c r="AC212" s="1678"/>
      <c r="AD212" s="574"/>
      <c r="AE212" s="574"/>
      <c r="AF212" s="574"/>
      <c r="AG212" s="574"/>
    </row>
    <row s="4362" customFormat="1" customHeight="1" ht="11.25">
      <c r="A213" s="1000"/>
      <c r="B213" s="1682"/>
      <c r="C213" s="1682"/>
      <c r="D213" s="347"/>
      <c r="J213" s="4461"/>
      <c r="K213" s="4461"/>
      <c r="L213" s="4461"/>
      <c r="M213" s="1174"/>
      <c r="N213" s="1682"/>
      <c r="O213" s="1682"/>
      <c r="P213" s="1174"/>
      <c r="Q213" s="1174"/>
      <c r="R213" s="1174"/>
      <c r="S213" s="1174"/>
      <c r="T213" s="1682"/>
      <c r="U213" s="1174"/>
      <c r="V213" s="1174"/>
      <c r="W213" s="552"/>
      <c r="X213" s="1174"/>
      <c r="Y213" s="1174"/>
      <c r="Z213" s="1174"/>
      <c r="AA213" s="1174"/>
      <c r="AB213" s="1174"/>
      <c r="AC213" s="1678"/>
      <c r="AD213" s="574"/>
      <c r="AE213" s="574"/>
      <c r="AF213" s="574"/>
      <c r="AG213" s="574"/>
    </row>
    <row s="4362" customFormat="1" customHeight="1" ht="11.25">
      <c r="A214" s="1000"/>
      <c r="B214" s="1682"/>
      <c r="C214" s="1682"/>
      <c r="D214" s="347"/>
      <c r="J214" s="4461"/>
      <c r="K214" s="4461"/>
      <c r="L214" s="4461"/>
      <c r="M214" s="1174"/>
      <c r="N214" s="1682"/>
      <c r="O214" s="1682"/>
      <c r="P214" s="1174"/>
      <c r="Q214" s="1174"/>
      <c r="R214" s="1174"/>
      <c r="S214" s="1174"/>
      <c r="T214" s="1682"/>
      <c r="U214" s="1174"/>
      <c r="V214" s="1174"/>
      <c r="W214" s="552"/>
      <c r="X214" s="1174"/>
      <c r="Y214" s="1174"/>
      <c r="Z214" s="1174"/>
      <c r="AA214" s="1174"/>
      <c r="AB214" s="1174"/>
      <c r="AC214" s="1678"/>
      <c r="AD214" s="574"/>
      <c r="AE214" s="574"/>
      <c r="AF214" s="574"/>
      <c r="AG214" s="574"/>
    </row>
    <row s="4362" customFormat="1" customHeight="1" ht="11.25">
      <c r="A215" s="1000"/>
      <c r="B215" s="1682"/>
      <c r="C215" s="1682"/>
      <c r="D215" s="347"/>
      <c r="J215" s="4461"/>
      <c r="K215" s="4461"/>
      <c r="L215" s="4461"/>
      <c r="M215" s="1174"/>
      <c r="N215" s="1682"/>
      <c r="O215" s="1682"/>
      <c r="P215" s="1174"/>
      <c r="Q215" s="1174"/>
      <c r="R215" s="1174"/>
      <c r="S215" s="1174"/>
      <c r="T215" s="1682"/>
      <c r="U215" s="1174"/>
      <c r="V215" s="1174"/>
      <c r="W215" s="552"/>
      <c r="X215" s="1174"/>
      <c r="Y215" s="1174"/>
      <c r="Z215" s="1174"/>
      <c r="AA215" s="1174"/>
      <c r="AB215" s="1174"/>
      <c r="AC215" s="1678"/>
      <c r="AD215" s="574"/>
      <c r="AE215" s="574"/>
      <c r="AF215" s="574"/>
      <c r="AG215" s="574"/>
    </row>
    <row s="4362" customFormat="1" customHeight="1" ht="11.25">
      <c r="A216" s="1000"/>
      <c r="B216" s="1682"/>
      <c r="C216" s="1682"/>
      <c r="D216" s="347"/>
      <c r="J216" s="4461"/>
      <c r="K216" s="4461"/>
      <c r="L216" s="4461"/>
      <c r="M216" s="1174"/>
      <c r="N216" s="1682"/>
      <c r="O216" s="1682"/>
      <c r="P216" s="1174"/>
      <c r="Q216" s="1174"/>
      <c r="R216" s="1174"/>
      <c r="S216" s="1174"/>
      <c r="T216" s="1682"/>
      <c r="U216" s="1174"/>
      <c r="V216" s="1174"/>
      <c r="W216" s="552"/>
      <c r="X216" s="1174"/>
      <c r="Y216" s="1174"/>
      <c r="Z216" s="1174"/>
      <c r="AA216" s="1174"/>
      <c r="AB216" s="1174"/>
      <c r="AC216" s="1678"/>
      <c r="AD216" s="574"/>
      <c r="AE216" s="574"/>
      <c r="AF216" s="574"/>
      <c r="AG216" s="574"/>
    </row>
    <row s="4362" customFormat="1" customHeight="1" ht="11.25">
      <c r="A217" s="1000"/>
      <c r="B217" s="1682"/>
      <c r="C217" s="1682"/>
      <c r="D217" s="347"/>
      <c r="J217" s="4461"/>
      <c r="K217" s="4461"/>
      <c r="L217" s="4461"/>
      <c r="M217" s="1174"/>
      <c r="N217" s="1682"/>
      <c r="O217" s="1682"/>
      <c r="P217" s="1174"/>
      <c r="Q217" s="1174"/>
      <c r="R217" s="1174"/>
      <c r="S217" s="1174"/>
      <c r="T217" s="1682"/>
      <c r="U217" s="1174"/>
      <c r="V217" s="1174"/>
      <c r="W217" s="552"/>
      <c r="X217" s="1174"/>
      <c r="Y217" s="1174"/>
      <c r="Z217" s="1174"/>
      <c r="AA217" s="1174"/>
      <c r="AB217" s="1174"/>
      <c r="AC217" s="1678"/>
      <c r="AD217" s="574"/>
      <c r="AE217" s="574"/>
      <c r="AF217" s="574"/>
      <c r="AG217" s="574"/>
    </row>
    <row s="4362" customFormat="1" customHeight="1" ht="11.25">
      <c r="A218" s="1000"/>
      <c r="B218" s="1682"/>
      <c r="C218" s="1682"/>
      <c r="D218" s="347"/>
      <c r="J218" s="4461"/>
      <c r="K218" s="4461"/>
      <c r="L218" s="4461"/>
      <c r="M218" s="1174"/>
      <c r="N218" s="1682"/>
      <c r="O218" s="1682"/>
      <c r="P218" s="1174"/>
      <c r="Q218" s="1174"/>
      <c r="R218" s="1174"/>
      <c r="S218" s="1174"/>
      <c r="T218" s="1682"/>
      <c r="U218" s="1174"/>
      <c r="V218" s="1174"/>
      <c r="W218" s="552"/>
      <c r="X218" s="1174"/>
      <c r="Y218" s="1174"/>
      <c r="Z218" s="1174"/>
      <c r="AA218" s="1174"/>
      <c r="AB218" s="1174"/>
      <c r="AC218" s="1678"/>
      <c r="AD218" s="574"/>
      <c r="AE218" s="574"/>
      <c r="AF218" s="574"/>
      <c r="AG218" s="574"/>
    </row>
    <row s="4362" customFormat="1" customHeight="1" ht="11.25">
      <c r="A219" s="1000"/>
      <c r="B219" s="1682"/>
      <c r="C219" s="1682"/>
      <c r="D219" s="347"/>
      <c r="J219" s="4461"/>
      <c r="K219" s="4461"/>
      <c r="L219" s="4461"/>
      <c r="M219" s="1174"/>
      <c r="N219" s="1682"/>
      <c r="O219" s="1682"/>
      <c r="P219" s="1174"/>
      <c r="Q219" s="1174"/>
      <c r="R219" s="1174"/>
      <c r="S219" s="1174"/>
      <c r="T219" s="1682"/>
      <c r="U219" s="1174"/>
      <c r="V219" s="1174"/>
      <c r="W219" s="552"/>
      <c r="X219" s="1174"/>
      <c r="Y219" s="1174"/>
      <c r="Z219" s="1174"/>
      <c r="AA219" s="1174"/>
      <c r="AB219" s="1174"/>
      <c r="AC219" s="1678"/>
      <c r="AD219" s="574"/>
      <c r="AE219" s="574"/>
      <c r="AF219" s="574"/>
      <c r="AG219" s="574"/>
    </row>
    <row s="4362" customFormat="1" customHeight="1" ht="11.25">
      <c r="A220" s="1000"/>
      <c r="B220" s="1682"/>
      <c r="C220" s="1682"/>
      <c r="D220" s="347"/>
      <c r="J220" s="4461"/>
      <c r="K220" s="4461"/>
      <c r="L220" s="4461"/>
      <c r="M220" s="1174"/>
      <c r="N220" s="1682"/>
      <c r="O220" s="1682"/>
      <c r="P220" s="1174"/>
      <c r="Q220" s="1174"/>
      <c r="R220" s="1174"/>
      <c r="S220" s="1174"/>
      <c r="T220" s="1682"/>
      <c r="U220" s="1174"/>
      <c r="V220" s="1174"/>
      <c r="W220" s="552"/>
      <c r="X220" s="1174"/>
      <c r="Y220" s="1174"/>
      <c r="Z220" s="1174"/>
      <c r="AA220" s="1174"/>
      <c r="AB220" s="1174"/>
      <c r="AC220" s="1678"/>
      <c r="AD220" s="574"/>
      <c r="AE220" s="574"/>
      <c r="AF220" s="574"/>
      <c r="AG220" s="574"/>
    </row>
    <row s="4362" customFormat="1" customHeight="1" ht="11.25">
      <c r="A221" s="1000"/>
      <c r="B221" s="1682"/>
      <c r="C221" s="1682"/>
      <c r="D221" s="347"/>
      <c r="J221" s="4461"/>
      <c r="K221" s="4461"/>
      <c r="L221" s="4461"/>
      <c r="M221" s="1174"/>
      <c r="N221" s="1682"/>
      <c r="O221" s="1682"/>
      <c r="P221" s="1174"/>
      <c r="Q221" s="1174"/>
      <c r="R221" s="1174"/>
      <c r="S221" s="1174"/>
      <c r="T221" s="1682"/>
      <c r="U221" s="1174"/>
      <c r="V221" s="1174"/>
      <c r="W221" s="552"/>
      <c r="X221" s="1174"/>
      <c r="Y221" s="1174"/>
      <c r="Z221" s="1174"/>
      <c r="AA221" s="1174"/>
      <c r="AB221" s="1174"/>
      <c r="AC221" s="1678"/>
      <c r="AD221" s="574"/>
      <c r="AE221" s="574"/>
      <c r="AF221" s="574"/>
      <c r="AG221" s="574"/>
    </row>
    <row s="4362" customFormat="1" customHeight="1" ht="11.25">
      <c r="A222" s="1000"/>
      <c r="B222" s="1682"/>
      <c r="C222" s="1682"/>
      <c r="D222" s="347"/>
      <c r="J222" s="4461"/>
      <c r="K222" s="4461"/>
      <c r="L222" s="4461"/>
      <c r="M222" s="1174"/>
      <c r="N222" s="1682"/>
      <c r="O222" s="1682"/>
      <c r="P222" s="1174"/>
      <c r="Q222" s="1174"/>
      <c r="R222" s="1174"/>
      <c r="S222" s="1174"/>
      <c r="T222" s="1682"/>
      <c r="U222" s="1174"/>
      <c r="V222" s="1174"/>
      <c r="W222" s="552"/>
      <c r="X222" s="1174"/>
      <c r="Y222" s="1174"/>
      <c r="Z222" s="1174"/>
      <c r="AA222" s="1174"/>
      <c r="AB222" s="1174"/>
      <c r="AC222" s="1678"/>
      <c r="AD222" s="574"/>
      <c r="AE222" s="574"/>
      <c r="AF222" s="574"/>
      <c r="AG222" s="574"/>
    </row>
    <row s="4362" customFormat="1" customHeight="1" ht="11.25">
      <c r="A223" s="1000"/>
      <c r="B223" s="1682"/>
      <c r="C223" s="1682"/>
      <c r="D223" s="347"/>
      <c r="J223" s="4461"/>
      <c r="K223" s="4461"/>
      <c r="L223" s="4461"/>
      <c r="M223" s="1174"/>
      <c r="N223" s="1682"/>
      <c r="O223" s="1682"/>
      <c r="P223" s="1174"/>
      <c r="Q223" s="1174"/>
      <c r="R223" s="1174"/>
      <c r="S223" s="1174"/>
      <c r="T223" s="1682"/>
      <c r="U223" s="1174"/>
      <c r="V223" s="1174"/>
      <c r="W223" s="552"/>
      <c r="X223" s="1174"/>
      <c r="Y223" s="1174"/>
      <c r="Z223" s="1174"/>
      <c r="AA223" s="1174"/>
      <c r="AB223" s="1174"/>
      <c r="AC223" s="1678"/>
      <c r="AD223" s="574"/>
      <c r="AE223" s="574"/>
      <c r="AF223" s="574"/>
      <c r="AG223" s="574"/>
    </row>
    <row s="4362" customFormat="1" customHeight="1" ht="11.25">
      <c r="A224" s="1000"/>
      <c r="B224" s="1682"/>
      <c r="C224" s="1682"/>
      <c r="D224" s="347"/>
      <c r="J224" s="4461"/>
      <c r="K224" s="4461"/>
      <c r="L224" s="4461"/>
      <c r="M224" s="1174"/>
      <c r="N224" s="1682"/>
      <c r="O224" s="1682"/>
      <c r="P224" s="1174"/>
      <c r="Q224" s="1174"/>
      <c r="R224" s="1174"/>
      <c r="S224" s="1174"/>
      <c r="T224" s="1682"/>
      <c r="U224" s="1174"/>
      <c r="V224" s="1174"/>
      <c r="W224" s="552"/>
      <c r="X224" s="1174"/>
      <c r="Y224" s="1174"/>
      <c r="Z224" s="1174"/>
      <c r="AA224" s="1174"/>
      <c r="AB224" s="1174"/>
      <c r="AC224" s="1678"/>
      <c r="AD224" s="574"/>
      <c r="AE224" s="574"/>
      <c r="AF224" s="574"/>
      <c r="AG224" s="574"/>
    </row>
    <row s="4362" customFormat="1" customHeight="1" ht="11.25">
      <c r="A225" s="1000"/>
      <c r="B225" s="1682"/>
      <c r="C225" s="1682"/>
      <c r="D225" s="347"/>
      <c r="J225" s="4461"/>
      <c r="K225" s="4461"/>
      <c r="L225" s="4461"/>
      <c r="M225" s="1174"/>
      <c r="N225" s="1682"/>
      <c r="O225" s="1682"/>
      <c r="P225" s="1174"/>
      <c r="Q225" s="1174"/>
      <c r="R225" s="1174"/>
      <c r="S225" s="1174"/>
      <c r="T225" s="1682"/>
      <c r="U225" s="1174"/>
      <c r="V225" s="1174"/>
      <c r="W225" s="552"/>
      <c r="X225" s="1174"/>
      <c r="Y225" s="1174"/>
      <c r="Z225" s="1174"/>
      <c r="AA225" s="1174"/>
      <c r="AB225" s="1174"/>
      <c r="AC225" s="1678"/>
      <c r="AD225" s="574"/>
      <c r="AE225" s="574"/>
      <c r="AF225" s="574"/>
      <c r="AG225" s="574"/>
    </row>
    <row s="4362" customFormat="1" customHeight="1" ht="11.25">
      <c r="A226" s="1000"/>
      <c r="B226" s="1682"/>
      <c r="C226" s="1682"/>
      <c r="D226" s="347"/>
      <c r="J226" s="4461"/>
      <c r="K226" s="4461"/>
      <c r="L226" s="4461"/>
      <c r="M226" s="1174"/>
      <c r="N226" s="1682"/>
      <c r="O226" s="1682"/>
      <c r="P226" s="1174"/>
      <c r="Q226" s="1174"/>
      <c r="R226" s="1174"/>
      <c r="S226" s="1174"/>
      <c r="T226" s="1682"/>
      <c r="U226" s="1174"/>
      <c r="V226" s="1174"/>
      <c r="W226" s="552"/>
      <c r="X226" s="1174"/>
      <c r="Y226" s="1174"/>
      <c r="Z226" s="1174"/>
      <c r="AA226" s="1174"/>
      <c r="AB226" s="1174"/>
      <c r="AC226" s="1678"/>
      <c r="AD226" s="574"/>
      <c r="AE226" s="574"/>
      <c r="AF226" s="574"/>
      <c r="AG226" s="574"/>
    </row>
    <row s="4362" customFormat="1" customHeight="1" ht="11.25">
      <c r="A227" s="1000"/>
      <c r="B227" s="1682"/>
      <c r="C227" s="1682"/>
      <c r="D227" s="347"/>
      <c r="J227" s="4461"/>
      <c r="K227" s="4461"/>
      <c r="L227" s="4461"/>
      <c r="M227" s="1174"/>
      <c r="N227" s="1682"/>
      <c r="O227" s="1682"/>
      <c r="P227" s="1174"/>
      <c r="Q227" s="1174"/>
      <c r="R227" s="1174"/>
      <c r="S227" s="1174"/>
      <c r="T227" s="1682"/>
      <c r="U227" s="1174"/>
      <c r="V227" s="1174"/>
      <c r="W227" s="552"/>
      <c r="X227" s="1174"/>
      <c r="Y227" s="1174"/>
      <c r="Z227" s="1174"/>
      <c r="AA227" s="1174"/>
      <c r="AB227" s="1174"/>
      <c r="AC227" s="1678"/>
      <c r="AD227" s="574"/>
      <c r="AE227" s="574"/>
      <c r="AF227" s="574"/>
      <c r="AG227" s="574"/>
    </row>
    <row s="4362" customFormat="1" customHeight="1" ht="11.25">
      <c r="A228" s="1000"/>
      <c r="B228" s="1682"/>
      <c r="C228" s="1682"/>
      <c r="D228" s="347"/>
      <c r="J228" s="4461"/>
      <c r="K228" s="4461"/>
      <c r="L228" s="4461"/>
      <c r="M228" s="1174"/>
      <c r="N228" s="1682"/>
      <c r="O228" s="1682"/>
      <c r="P228" s="1174"/>
      <c r="Q228" s="1174"/>
      <c r="R228" s="1174"/>
      <c r="S228" s="1174"/>
      <c r="T228" s="1682"/>
      <c r="U228" s="1174"/>
      <c r="V228" s="1174"/>
      <c r="W228" s="552"/>
      <c r="X228" s="1174"/>
      <c r="Y228" s="1174"/>
      <c r="Z228" s="1174"/>
      <c r="AA228" s="1174"/>
      <c r="AB228" s="1174"/>
      <c r="AC228" s="1678"/>
      <c r="AD228" s="574"/>
      <c r="AE228" s="574"/>
      <c r="AF228" s="574"/>
      <c r="AG228" s="574"/>
    </row>
    <row s="4362" customFormat="1" customHeight="1" ht="11.25">
      <c r="A229" s="1000"/>
      <c r="B229" s="1682"/>
      <c r="C229" s="1682"/>
      <c r="D229" s="347"/>
      <c r="J229" s="4461"/>
      <c r="K229" s="4461"/>
      <c r="L229" s="4461"/>
      <c r="M229" s="1174"/>
      <c r="N229" s="1682"/>
      <c r="O229" s="1682"/>
      <c r="P229" s="1174"/>
      <c r="Q229" s="1174"/>
      <c r="R229" s="1174"/>
      <c r="S229" s="1174"/>
      <c r="T229" s="1682"/>
      <c r="U229" s="1174"/>
      <c r="V229" s="1174"/>
      <c r="W229" s="552"/>
      <c r="X229" s="1174"/>
      <c r="Y229" s="1174"/>
      <c r="Z229" s="1174"/>
      <c r="AA229" s="1174"/>
      <c r="AB229" s="1174"/>
      <c r="AC229" s="1678"/>
      <c r="AD229" s="574"/>
      <c r="AE229" s="574"/>
      <c r="AF229" s="574"/>
      <c r="AG229" s="574"/>
    </row>
    <row s="4362" customFormat="1" customHeight="1" ht="11.25">
      <c r="A230" s="1000"/>
      <c r="B230" s="1682"/>
      <c r="C230" s="1682"/>
      <c r="D230" s="347"/>
      <c r="J230" s="4461"/>
      <c r="K230" s="4461"/>
      <c r="L230" s="4461"/>
      <c r="M230" s="1174"/>
      <c r="N230" s="1682"/>
      <c r="O230" s="1682"/>
      <c r="P230" s="1174"/>
      <c r="Q230" s="1174"/>
      <c r="R230" s="1174"/>
      <c r="S230" s="1174"/>
      <c r="T230" s="1682"/>
      <c r="U230" s="1174"/>
      <c r="V230" s="1174"/>
      <c r="W230" s="552"/>
      <c r="X230" s="1174"/>
      <c r="Y230" s="1174"/>
      <c r="Z230" s="1174"/>
      <c r="AA230" s="1174"/>
      <c r="AB230" s="1174"/>
      <c r="AC230" s="1678"/>
      <c r="AD230" s="574"/>
      <c r="AE230" s="574"/>
      <c r="AF230" s="574"/>
      <c r="AG230" s="574"/>
    </row>
    <row s="4362" customFormat="1" customHeight="1" ht="11.25">
      <c r="A231" s="1000"/>
      <c r="B231" s="1682"/>
      <c r="C231" s="1682"/>
      <c r="D231" s="347"/>
      <c r="J231" s="4461"/>
      <c r="K231" s="4461"/>
      <c r="L231" s="4461"/>
      <c r="M231" s="1174"/>
      <c r="N231" s="1682"/>
      <c r="O231" s="1682"/>
      <c r="P231" s="1174"/>
      <c r="Q231" s="1174"/>
      <c r="R231" s="1174"/>
      <c r="S231" s="1174"/>
      <c r="T231" s="1682"/>
      <c r="U231" s="1174"/>
      <c r="V231" s="1174"/>
      <c r="W231" s="552"/>
      <c r="X231" s="1174"/>
      <c r="Y231" s="1174"/>
      <c r="Z231" s="1174"/>
      <c r="AA231" s="1174"/>
      <c r="AB231" s="1174"/>
      <c r="AC231" s="1678"/>
      <c r="AD231" s="574"/>
      <c r="AE231" s="574"/>
      <c r="AF231" s="574"/>
      <c r="AG231" s="574"/>
    </row>
    <row s="4362" customFormat="1" customHeight="1" ht="11.25">
      <c r="A232" s="1000"/>
      <c r="B232" s="1682"/>
      <c r="C232" s="1682"/>
      <c r="D232" s="347"/>
      <c r="J232" s="4461"/>
      <c r="K232" s="4461"/>
      <c r="L232" s="4461"/>
      <c r="M232" s="1174"/>
      <c r="N232" s="1682"/>
      <c r="O232" s="1682"/>
      <c r="P232" s="1174"/>
      <c r="Q232" s="1174"/>
      <c r="R232" s="1174"/>
      <c r="S232" s="1174"/>
      <c r="T232" s="1682"/>
      <c r="U232" s="1174"/>
      <c r="V232" s="1174"/>
      <c r="W232" s="552"/>
      <c r="X232" s="1174"/>
      <c r="Y232" s="1174"/>
      <c r="Z232" s="1174"/>
      <c r="AA232" s="1174"/>
      <c r="AB232" s="1174"/>
      <c r="AC232" s="1678"/>
      <c r="AD232" s="574"/>
      <c r="AE232" s="574"/>
      <c r="AF232" s="574"/>
      <c r="AG232" s="574"/>
    </row>
    <row s="4362" customFormat="1" customHeight="1" ht="11.25">
      <c r="A233" s="1000"/>
      <c r="B233" s="1682"/>
      <c r="C233" s="1682"/>
      <c r="D233" s="347"/>
      <c r="J233" s="4461"/>
      <c r="K233" s="4461"/>
      <c r="L233" s="4461"/>
      <c r="M233" s="1174"/>
      <c r="N233" s="1682"/>
      <c r="O233" s="1682"/>
      <c r="P233" s="1174"/>
      <c r="Q233" s="1174"/>
      <c r="R233" s="1174"/>
      <c r="S233" s="1174"/>
      <c r="T233" s="1682"/>
      <c r="U233" s="1174"/>
      <c r="V233" s="1174"/>
      <c r="W233" s="552"/>
      <c r="X233" s="1174"/>
      <c r="Y233" s="1174"/>
      <c r="Z233" s="1174"/>
      <c r="AA233" s="1174"/>
      <c r="AB233" s="1174"/>
      <c r="AC233" s="1678"/>
      <c r="AD233" s="574"/>
      <c r="AE233" s="574"/>
      <c r="AF233" s="574"/>
      <c r="AG233" s="574"/>
    </row>
    <row s="4362" customFormat="1" customHeight="1" ht="11.25">
      <c r="A234" s="1000"/>
      <c r="B234" s="1682"/>
      <c r="C234" s="1682"/>
      <c r="D234" s="347"/>
      <c r="J234" s="4461"/>
      <c r="K234" s="4461"/>
      <c r="L234" s="4461"/>
      <c r="M234" s="1174"/>
      <c r="N234" s="1682"/>
      <c r="O234" s="1682"/>
      <c r="P234" s="1174"/>
      <c r="Q234" s="1174"/>
      <c r="R234" s="1174"/>
      <c r="S234" s="1174"/>
      <c r="T234" s="1682"/>
      <c r="U234" s="1174"/>
      <c r="V234" s="1174"/>
      <c r="W234" s="552"/>
      <c r="X234" s="1174"/>
      <c r="Y234" s="1174"/>
      <c r="Z234" s="1174"/>
      <c r="AA234" s="1174"/>
      <c r="AB234" s="1174"/>
      <c r="AC234" s="1678"/>
      <c r="AD234" s="574"/>
      <c r="AE234" s="574"/>
      <c r="AF234" s="574"/>
      <c r="AG234" s="574"/>
    </row>
    <row s="4362" customFormat="1" customHeight="1" ht="11.25">
      <c r="A235" s="1000"/>
      <c r="B235" s="1682"/>
      <c r="C235" s="1682"/>
      <c r="D235" s="347"/>
      <c r="J235" s="4461"/>
      <c r="K235" s="4461"/>
      <c r="L235" s="4461"/>
      <c r="M235" s="1174"/>
      <c r="N235" s="1682"/>
      <c r="O235" s="1682"/>
      <c r="P235" s="1174"/>
      <c r="Q235" s="1174"/>
      <c r="R235" s="1174"/>
      <c r="S235" s="1174"/>
      <c r="T235" s="1682"/>
      <c r="U235" s="1174"/>
      <c r="V235" s="1174"/>
      <c r="W235" s="552"/>
      <c r="X235" s="1174"/>
      <c r="Y235" s="1174"/>
      <c r="Z235" s="1174"/>
      <c r="AA235" s="1174"/>
      <c r="AB235" s="1174"/>
      <c r="AC235" s="1678"/>
      <c r="AD235" s="574"/>
      <c r="AE235" s="574"/>
      <c r="AF235" s="574"/>
      <c r="AG235" s="574"/>
    </row>
    <row s="4362" customFormat="1" customHeight="1" ht="11.25">
      <c r="A236" s="1000"/>
      <c r="B236" s="1682"/>
      <c r="C236" s="1682"/>
      <c r="D236" s="347"/>
      <c r="J236" s="4461"/>
      <c r="K236" s="4461"/>
      <c r="L236" s="4461"/>
      <c r="M236" s="1174"/>
      <c r="N236" s="1682"/>
      <c r="O236" s="1682"/>
      <c r="P236" s="1174"/>
      <c r="Q236" s="1174"/>
      <c r="R236" s="1174"/>
      <c r="S236" s="1174"/>
      <c r="T236" s="1682"/>
      <c r="U236" s="1174"/>
      <c r="V236" s="1174"/>
      <c r="W236" s="552"/>
      <c r="X236" s="1174"/>
      <c r="Y236" s="1174"/>
      <c r="Z236" s="1174"/>
      <c r="AA236" s="1174"/>
      <c r="AB236" s="1174"/>
      <c r="AC236" s="1678"/>
      <c r="AD236" s="574"/>
      <c r="AE236" s="574"/>
      <c r="AF236" s="574"/>
      <c r="AG236" s="574"/>
    </row>
    <row s="4362" customFormat="1" customHeight="1" ht="11.25">
      <c r="A237" s="1000"/>
      <c r="B237" s="1682"/>
      <c r="C237" s="1682"/>
      <c r="D237" s="347"/>
      <c r="J237" s="4461"/>
      <c r="K237" s="4461"/>
      <c r="L237" s="4461"/>
      <c r="M237" s="1174"/>
      <c r="N237" s="1682"/>
      <c r="O237" s="1682"/>
      <c r="P237" s="1174"/>
      <c r="Q237" s="1174"/>
      <c r="R237" s="1174"/>
      <c r="S237" s="1174"/>
      <c r="T237" s="1682"/>
      <c r="U237" s="1174"/>
      <c r="V237" s="1174"/>
      <c r="W237" s="552"/>
      <c r="X237" s="1174"/>
      <c r="Y237" s="1174"/>
      <c r="Z237" s="1174"/>
      <c r="AA237" s="1174"/>
      <c r="AB237" s="1174"/>
      <c r="AC237" s="1678"/>
      <c r="AD237" s="574"/>
      <c r="AE237" s="574"/>
      <c r="AF237" s="574"/>
      <c r="AG237" s="574"/>
    </row>
    <row s="4362" customFormat="1" customHeight="1" ht="11.25">
      <c r="A238" s="1000"/>
      <c r="B238" s="1682"/>
      <c r="C238" s="1682"/>
      <c r="D238" s="347"/>
      <c r="J238" s="4461"/>
      <c r="K238" s="4461"/>
      <c r="L238" s="4461"/>
      <c r="M238" s="1174"/>
      <c r="N238" s="1682"/>
      <c r="O238" s="1682"/>
      <c r="P238" s="1174"/>
      <c r="Q238" s="1174"/>
      <c r="R238" s="1174"/>
      <c r="S238" s="1174"/>
      <c r="T238" s="1682"/>
      <c r="U238" s="1174"/>
      <c r="V238" s="1174"/>
      <c r="W238" s="552"/>
      <c r="X238" s="1174"/>
      <c r="Y238" s="1174"/>
      <c r="Z238" s="1174"/>
      <c r="AA238" s="1174"/>
      <c r="AB238" s="1174"/>
      <c r="AC238" s="1678"/>
      <c r="AD238" s="574"/>
      <c r="AE238" s="574"/>
      <c r="AF238" s="574"/>
      <c r="AG238" s="574"/>
    </row>
    <row s="4362" customFormat="1" customHeight="1" ht="11.25">
      <c r="A239" s="1000"/>
      <c r="B239" s="1682"/>
      <c r="C239" s="1682"/>
      <c r="D239" s="347"/>
      <c r="J239" s="4461"/>
      <c r="K239" s="4461"/>
      <c r="L239" s="4461"/>
      <c r="M239" s="1174"/>
      <c r="N239" s="1682"/>
      <c r="O239" s="1682"/>
      <c r="P239" s="1174"/>
      <c r="Q239" s="1174"/>
      <c r="R239" s="1174"/>
      <c r="S239" s="1174"/>
      <c r="T239" s="1682"/>
      <c r="U239" s="1174"/>
      <c r="V239" s="1174"/>
      <c r="W239" s="552"/>
      <c r="X239" s="1174"/>
      <c r="Y239" s="1174"/>
      <c r="Z239" s="1174"/>
      <c r="AA239" s="1174"/>
      <c r="AB239" s="1174"/>
      <c r="AC239" s="1678"/>
      <c r="AD239" s="574"/>
      <c r="AE239" s="574"/>
      <c r="AF239" s="574"/>
      <c r="AG239" s="574"/>
    </row>
    <row s="4362" customFormat="1" customHeight="1" ht="11.25">
      <c r="A240" s="1000"/>
      <c r="B240" s="1682"/>
      <c r="C240" s="1682"/>
      <c r="D240" s="347"/>
      <c r="J240" s="4461"/>
      <c r="K240" s="4461"/>
      <c r="L240" s="4461"/>
      <c r="M240" s="1174"/>
      <c r="N240" s="1682"/>
      <c r="O240" s="1682"/>
      <c r="P240" s="1174"/>
      <c r="Q240" s="1174"/>
      <c r="R240" s="1174"/>
      <c r="S240" s="1174"/>
      <c r="T240" s="1682"/>
      <c r="U240" s="1174"/>
      <c r="V240" s="1174"/>
      <c r="W240" s="552"/>
      <c r="X240" s="1174"/>
      <c r="Y240" s="1174"/>
      <c r="Z240" s="1174"/>
      <c r="AA240" s="1174"/>
      <c r="AB240" s="1174"/>
      <c r="AC240" s="1678"/>
      <c r="AD240" s="574"/>
      <c r="AE240" s="574"/>
      <c r="AF240" s="574"/>
      <c r="AG240" s="574"/>
    </row>
    <row s="4362" customFormat="1" customHeight="1" ht="11.25">
      <c r="A241" s="1000"/>
      <c r="B241" s="1682"/>
      <c r="C241" s="1682"/>
      <c r="D241" s="347"/>
      <c r="J241" s="4461"/>
      <c r="K241" s="4461"/>
      <c r="L241" s="4461"/>
      <c r="M241" s="1174"/>
      <c r="N241" s="1682"/>
      <c r="O241" s="1682"/>
      <c r="P241" s="1174"/>
      <c r="Q241" s="1174"/>
      <c r="R241" s="1174"/>
      <c r="S241" s="1174"/>
      <c r="T241" s="1682"/>
      <c r="U241" s="1174"/>
      <c r="V241" s="1174"/>
      <c r="W241" s="552"/>
      <c r="X241" s="1174"/>
      <c r="Y241" s="1174"/>
      <c r="Z241" s="1174"/>
      <c r="AA241" s="1174"/>
      <c r="AB241" s="1174"/>
      <c r="AC241" s="1678"/>
      <c r="AD241" s="574"/>
      <c r="AE241" s="574"/>
      <c r="AF241" s="574"/>
      <c r="AG241" s="574"/>
    </row>
    <row s="4362" customFormat="1" customHeight="1" ht="11.25">
      <c r="A242" s="1000"/>
      <c r="B242" s="1682"/>
      <c r="C242" s="1682"/>
      <c r="D242" s="347"/>
      <c r="J242" s="4461"/>
      <c r="K242" s="4461"/>
      <c r="L242" s="4461"/>
      <c r="M242" s="1174"/>
      <c r="N242" s="1682"/>
      <c r="O242" s="1682"/>
      <c r="P242" s="1174"/>
      <c r="Q242" s="1174"/>
      <c r="R242" s="1174"/>
      <c r="S242" s="1174"/>
      <c r="T242" s="1682"/>
      <c r="U242" s="1174"/>
      <c r="V242" s="1174"/>
      <c r="W242" s="552"/>
      <c r="X242" s="1174"/>
      <c r="Y242" s="1174"/>
      <c r="Z242" s="1174"/>
      <c r="AA242" s="1174"/>
      <c r="AB242" s="1174"/>
      <c r="AC242" s="1678"/>
      <c r="AD242" s="574"/>
      <c r="AE242" s="574"/>
      <c r="AF242" s="574"/>
      <c r="AG242" s="574"/>
    </row>
    <row s="4362" customFormat="1" customHeight="1" ht="11.25">
      <c r="A243" s="1000"/>
      <c r="B243" s="1682"/>
      <c r="C243" s="1682"/>
      <c r="D243" s="347"/>
      <c r="J243" s="4461"/>
      <c r="K243" s="4461"/>
      <c r="L243" s="4461"/>
      <c r="M243" s="1174"/>
      <c r="N243" s="1682"/>
      <c r="O243" s="1682"/>
      <c r="P243" s="1174"/>
      <c r="Q243" s="1174"/>
      <c r="R243" s="1174"/>
      <c r="S243" s="1174"/>
      <c r="T243" s="1682"/>
      <c r="U243" s="1174"/>
      <c r="V243" s="1174"/>
      <c r="W243" s="552"/>
      <c r="X243" s="1174"/>
      <c r="Y243" s="1174"/>
      <c r="Z243" s="1174"/>
      <c r="AA243" s="1174"/>
      <c r="AB243" s="1174"/>
      <c r="AC243" s="1678"/>
      <c r="AD243" s="574"/>
      <c r="AE243" s="574"/>
      <c r="AF243" s="574"/>
      <c r="AG243" s="574"/>
    </row>
    <row s="4362" customFormat="1" customHeight="1" ht="11.25">
      <c r="A244" s="1000"/>
      <c r="B244" s="1682"/>
      <c r="C244" s="1682"/>
      <c r="D244" s="347"/>
      <c r="J244" s="4461"/>
      <c r="K244" s="4461"/>
      <c r="L244" s="4461"/>
      <c r="M244" s="1174"/>
      <c r="N244" s="1682"/>
      <c r="O244" s="1682"/>
      <c r="P244" s="1174"/>
      <c r="Q244" s="1174"/>
      <c r="R244" s="1174"/>
      <c r="S244" s="1174"/>
      <c r="T244" s="1682"/>
      <c r="U244" s="1174"/>
      <c r="V244" s="1174"/>
      <c r="W244" s="552"/>
      <c r="X244" s="1174"/>
      <c r="Y244" s="1174"/>
      <c r="Z244" s="1174"/>
      <c r="AA244" s="1174"/>
      <c r="AB244" s="1174"/>
      <c r="AC244" s="1678"/>
      <c r="AD244" s="574"/>
      <c r="AE244" s="574"/>
      <c r="AF244" s="574"/>
      <c r="AG244" s="574"/>
    </row>
    <row s="4362" customFormat="1" customHeight="1" ht="11.25">
      <c r="A245" s="1000"/>
      <c r="B245" s="1682"/>
      <c r="C245" s="1682"/>
      <c r="D245" s="347"/>
      <c r="J245" s="4461"/>
      <c r="K245" s="4461"/>
      <c r="L245" s="4461"/>
      <c r="M245" s="1174"/>
      <c r="N245" s="1682"/>
      <c r="O245" s="1682"/>
      <c r="P245" s="1174"/>
      <c r="Q245" s="1174"/>
      <c r="R245" s="1174"/>
      <c r="S245" s="1174"/>
      <c r="T245" s="1682"/>
      <c r="U245" s="1174"/>
      <c r="V245" s="1174"/>
      <c r="W245" s="552"/>
      <c r="X245" s="1174"/>
      <c r="Y245" s="1174"/>
      <c r="Z245" s="1174"/>
      <c r="AA245" s="1174"/>
      <c r="AB245" s="1174"/>
      <c r="AC245" s="1678"/>
      <c r="AD245" s="574"/>
      <c r="AE245" s="574"/>
      <c r="AF245" s="574"/>
      <c r="AG245" s="574"/>
    </row>
    <row s="4362" customFormat="1" customHeight="1" ht="11.25">
      <c r="A246" s="1000"/>
      <c r="B246" s="1682"/>
      <c r="C246" s="1682"/>
      <c r="D246" s="347"/>
      <c r="J246" s="4461"/>
      <c r="K246" s="4461"/>
      <c r="L246" s="4461"/>
      <c r="M246" s="1174"/>
      <c r="N246" s="1682"/>
      <c r="O246" s="1682"/>
      <c r="P246" s="1174"/>
      <c r="Q246" s="1174"/>
      <c r="R246" s="1174"/>
      <c r="S246" s="1174"/>
      <c r="T246" s="1682"/>
      <c r="U246" s="1174"/>
      <c r="V246" s="1174"/>
      <c r="W246" s="552"/>
      <c r="X246" s="1174"/>
      <c r="Y246" s="1174"/>
      <c r="Z246" s="1174"/>
      <c r="AA246" s="1174"/>
      <c r="AB246" s="1174"/>
      <c r="AC246" s="1678"/>
      <c r="AD246" s="574"/>
      <c r="AE246" s="574"/>
      <c r="AF246" s="574"/>
      <c r="AG246" s="574"/>
    </row>
    <row s="4362" customFormat="1" customHeight="1" ht="11.25">
      <c r="A247" s="1000"/>
      <c r="B247" s="1682"/>
      <c r="C247" s="1682"/>
      <c r="D247" s="347"/>
      <c r="J247" s="4461"/>
      <c r="K247" s="4461"/>
      <c r="L247" s="4461"/>
      <c r="M247" s="1174"/>
      <c r="N247" s="1682"/>
      <c r="O247" s="1682"/>
      <c r="P247" s="1174"/>
      <c r="Q247" s="1174"/>
      <c r="R247" s="1174"/>
      <c r="S247" s="1174"/>
      <c r="T247" s="1682"/>
      <c r="U247" s="1174"/>
      <c r="V247" s="1174"/>
      <c r="W247" s="552"/>
      <c r="X247" s="1174"/>
      <c r="Y247" s="1174"/>
      <c r="Z247" s="1174"/>
      <c r="AA247" s="1174"/>
      <c r="AB247" s="1174"/>
      <c r="AC247" s="1678"/>
      <c r="AD247" s="574"/>
      <c r="AE247" s="574"/>
      <c r="AF247" s="574"/>
      <c r="AG247" s="574"/>
    </row>
    <row s="4362" customFormat="1" customHeight="1" ht="11.25">
      <c r="A248" s="1000"/>
      <c r="B248" s="1682"/>
      <c r="C248" s="1682"/>
      <c r="D248" s="347"/>
      <c r="J248" s="4461"/>
      <c r="K248" s="4461"/>
      <c r="L248" s="4461"/>
      <c r="M248" s="1174"/>
      <c r="N248" s="1682"/>
      <c r="O248" s="1682"/>
      <c r="P248" s="1174"/>
      <c r="Q248" s="1174"/>
      <c r="R248" s="1174"/>
      <c r="S248" s="1174"/>
      <c r="T248" s="1682"/>
      <c r="U248" s="1174"/>
      <c r="V248" s="1174"/>
      <c r="W248" s="552"/>
      <c r="X248" s="1174"/>
      <c r="Y248" s="1174"/>
      <c r="Z248" s="1174"/>
      <c r="AA248" s="1174"/>
      <c r="AB248" s="1174"/>
      <c r="AC248" s="1678"/>
      <c r="AD248" s="574"/>
      <c r="AE248" s="574"/>
      <c r="AF248" s="574"/>
      <c r="AG248" s="574"/>
    </row>
    <row s="4362" customFormat="1" customHeight="1" ht="11.25">
      <c r="A249" s="1000"/>
      <c r="B249" s="1682"/>
      <c r="C249" s="1682"/>
      <c r="D249" s="347"/>
      <c r="J249" s="4461"/>
      <c r="K249" s="4461"/>
      <c r="L249" s="4461"/>
      <c r="M249" s="1174"/>
      <c r="N249" s="1682"/>
      <c r="O249" s="1682"/>
      <c r="P249" s="1174"/>
      <c r="Q249" s="1174"/>
      <c r="R249" s="1174"/>
      <c r="S249" s="1174"/>
      <c r="T249" s="1682"/>
      <c r="U249" s="1174"/>
      <c r="V249" s="1174"/>
      <c r="W249" s="552"/>
      <c r="X249" s="1174"/>
      <c r="Y249" s="1174"/>
      <c r="Z249" s="1174"/>
      <c r="AA249" s="1174"/>
      <c r="AB249" s="1174"/>
      <c r="AC249" s="1678"/>
      <c r="AD249" s="574"/>
      <c r="AE249" s="574"/>
      <c r="AF249" s="574"/>
      <c r="AG249" s="574"/>
    </row>
    <row s="4362" customFormat="1" customHeight="1" ht="11.25">
      <c r="A250" s="1000"/>
      <c r="B250" s="1682"/>
      <c r="C250" s="1682"/>
      <c r="D250" s="347"/>
      <c r="J250" s="4461"/>
      <c r="K250" s="4461"/>
      <c r="L250" s="4461"/>
      <c r="M250" s="1174"/>
      <c r="N250" s="1682"/>
      <c r="O250" s="1682"/>
      <c r="P250" s="1174"/>
      <c r="Q250" s="1174"/>
      <c r="R250" s="1174"/>
      <c r="S250" s="1174"/>
      <c r="T250" s="1682"/>
      <c r="U250" s="1174"/>
      <c r="V250" s="1174"/>
      <c r="W250" s="552"/>
      <c r="X250" s="1174"/>
      <c r="Y250" s="1174"/>
      <c r="Z250" s="1174"/>
      <c r="AA250" s="1174"/>
      <c r="AB250" s="1174"/>
      <c r="AC250" s="1678"/>
      <c r="AD250" s="574"/>
      <c r="AE250" s="574"/>
      <c r="AF250" s="574"/>
      <c r="AG250" s="574"/>
    </row>
    <row s="4362" customFormat="1" customHeight="1" ht="11.25">
      <c r="A251" s="1000"/>
      <c r="B251" s="1682"/>
      <c r="C251" s="1682"/>
      <c r="D251" s="347"/>
      <c r="J251" s="4461"/>
      <c r="K251" s="4461"/>
      <c r="L251" s="4461"/>
      <c r="M251" s="1174"/>
      <c r="N251" s="1682"/>
      <c r="O251" s="1682"/>
      <c r="P251" s="1174"/>
      <c r="Q251" s="1174"/>
      <c r="R251" s="1174"/>
      <c r="S251" s="1174"/>
      <c r="T251" s="1682"/>
      <c r="U251" s="1174"/>
      <c r="V251" s="1174"/>
      <c r="W251" s="552"/>
      <c r="X251" s="1174"/>
      <c r="Y251" s="1174"/>
      <c r="Z251" s="1174"/>
      <c r="AA251" s="1174"/>
      <c r="AB251" s="1174"/>
      <c r="AC251" s="1678"/>
      <c r="AD251" s="574"/>
      <c r="AE251" s="574"/>
      <c r="AF251" s="574"/>
      <c r="AG251" s="574"/>
    </row>
    <row s="4362" customFormat="1" customHeight="1" ht="11.25">
      <c r="A252" s="1000"/>
      <c r="B252" s="1682"/>
      <c r="C252" s="1682"/>
      <c r="D252" s="347"/>
      <c r="J252" s="4461"/>
      <c r="K252" s="4461"/>
      <c r="L252" s="4461"/>
      <c r="M252" s="1174"/>
      <c r="N252" s="1682"/>
      <c r="O252" s="1682"/>
      <c r="P252" s="1174"/>
      <c r="Q252" s="1174"/>
      <c r="R252" s="1174"/>
      <c r="S252" s="1174"/>
      <c r="T252" s="1682"/>
      <c r="U252" s="1174"/>
      <c r="V252" s="1174"/>
      <c r="W252" s="552"/>
      <c r="X252" s="1174"/>
      <c r="Y252" s="1174"/>
      <c r="Z252" s="1174"/>
      <c r="AA252" s="1174"/>
      <c r="AB252" s="1174"/>
      <c r="AC252" s="1678"/>
      <c r="AD252" s="574"/>
      <c r="AE252" s="574"/>
      <c r="AF252" s="574"/>
      <c r="AG252" s="574"/>
    </row>
    <row s="4362" customFormat="1" customHeight="1" ht="11.25">
      <c r="A253" s="1000"/>
      <c r="B253" s="1682"/>
      <c r="C253" s="1682"/>
      <c r="D253" s="347"/>
      <c r="J253" s="4461"/>
      <c r="K253" s="4461"/>
      <c r="L253" s="4461"/>
      <c r="M253" s="1174"/>
      <c r="N253" s="1682"/>
      <c r="O253" s="1682"/>
      <c r="P253" s="1174"/>
      <c r="Q253" s="1174"/>
      <c r="R253" s="1174"/>
      <c r="S253" s="1174"/>
      <c r="T253" s="1682"/>
      <c r="U253" s="1174"/>
      <c r="V253" s="1174"/>
      <c r="W253" s="552"/>
      <c r="X253" s="1174"/>
      <c r="Y253" s="1174"/>
      <c r="Z253" s="1174"/>
      <c r="AA253" s="1174"/>
      <c r="AB253" s="1174"/>
      <c r="AC253" s="1678"/>
      <c r="AD253" s="574"/>
      <c r="AE253" s="574"/>
      <c r="AF253" s="574"/>
      <c r="AG253" s="574"/>
    </row>
    <row s="4362" customFormat="1" customHeight="1" ht="11.25">
      <c r="A254" s="1000"/>
      <c r="B254" s="1682"/>
      <c r="C254" s="1682"/>
      <c r="D254" s="347"/>
      <c r="J254" s="4461"/>
      <c r="K254" s="4461"/>
      <c r="L254" s="4461"/>
      <c r="M254" s="1174"/>
      <c r="N254" s="1682"/>
      <c r="O254" s="1682"/>
      <c r="P254" s="1174"/>
      <c r="Q254" s="1174"/>
      <c r="R254" s="1174"/>
      <c r="S254" s="1174"/>
      <c r="T254" s="1682"/>
      <c r="U254" s="1174"/>
      <c r="V254" s="1174"/>
      <c r="W254" s="552"/>
      <c r="X254" s="1174"/>
      <c r="Y254" s="1174"/>
      <c r="Z254" s="1174"/>
      <c r="AA254" s="1174"/>
      <c r="AB254" s="1174"/>
      <c r="AC254" s="1678"/>
      <c r="AD254" s="574"/>
      <c r="AE254" s="574"/>
      <c r="AF254" s="574"/>
      <c r="AG254" s="574"/>
    </row>
    <row s="4362" customFormat="1" customHeight="1" ht="11.25">
      <c r="A255" s="1000"/>
      <c r="B255" s="1682"/>
      <c r="C255" s="1682"/>
      <c r="D255" s="347"/>
      <c r="J255" s="4461"/>
      <c r="K255" s="4461"/>
      <c r="L255" s="4461"/>
      <c r="M255" s="1174"/>
      <c r="N255" s="1682"/>
      <c r="O255" s="1682"/>
      <c r="P255" s="1174"/>
      <c r="Q255" s="1174"/>
      <c r="R255" s="1174"/>
      <c r="S255" s="1174"/>
      <c r="T255" s="1682"/>
      <c r="U255" s="1174"/>
      <c r="V255" s="1174"/>
      <c r="W255" s="552"/>
      <c r="X255" s="1174"/>
      <c r="Y255" s="1174"/>
      <c r="Z255" s="1174"/>
      <c r="AA255" s="1174"/>
      <c r="AB255" s="1174"/>
      <c r="AC255" s="1678"/>
      <c r="AD255" s="574"/>
      <c r="AE255" s="574"/>
      <c r="AF255" s="574"/>
      <c r="AG255" s="574"/>
    </row>
    <row s="4362" customFormat="1" customHeight="1" ht="11.25">
      <c r="A256" s="1000"/>
      <c r="B256" s="1682"/>
      <c r="C256" s="1682"/>
      <c r="D256" s="347"/>
      <c r="J256" s="4461"/>
      <c r="K256" s="4461"/>
      <c r="L256" s="4461"/>
      <c r="M256" s="1174"/>
      <c r="N256" s="1682"/>
      <c r="O256" s="1682"/>
      <c r="P256" s="1174"/>
      <c r="Q256" s="1174"/>
      <c r="R256" s="1174"/>
      <c r="S256" s="1174"/>
      <c r="T256" s="1682"/>
      <c r="U256" s="1174"/>
      <c r="V256" s="1174"/>
      <c r="W256" s="552"/>
      <c r="X256" s="1174"/>
      <c r="Y256" s="1174"/>
      <c r="Z256" s="1174"/>
      <c r="AA256" s="1174"/>
      <c r="AB256" s="1174"/>
      <c r="AC256" s="1678"/>
      <c r="AD256" s="574"/>
      <c r="AE256" s="574"/>
      <c r="AF256" s="574"/>
      <c r="AG256" s="574"/>
    </row>
    <row s="4362" customFormat="1" customHeight="1" ht="11.25">
      <c r="A257" s="1000"/>
      <c r="B257" s="1682"/>
      <c r="C257" s="1682"/>
      <c r="D257" s="347"/>
      <c r="J257" s="4461"/>
      <c r="K257" s="4461"/>
      <c r="L257" s="4461"/>
      <c r="M257" s="1174"/>
      <c r="N257" s="1682"/>
      <c r="O257" s="1682"/>
      <c r="P257" s="1174"/>
      <c r="Q257" s="1174"/>
      <c r="R257" s="1174"/>
      <c r="S257" s="1174"/>
      <c r="T257" s="1682"/>
      <c r="U257" s="1174"/>
      <c r="V257" s="1174"/>
      <c r="W257" s="552"/>
      <c r="X257" s="1174"/>
      <c r="Y257" s="1174"/>
      <c r="Z257" s="1174"/>
      <c r="AA257" s="1174"/>
      <c r="AB257" s="1174"/>
      <c r="AC257" s="1678"/>
      <c r="AD257" s="574"/>
      <c r="AE257" s="574"/>
      <c r="AF257" s="574"/>
      <c r="AG257" s="574"/>
    </row>
    <row s="4362" customFormat="1" customHeight="1" ht="11.25">
      <c r="A258" s="1000"/>
      <c r="B258" s="1682"/>
      <c r="C258" s="1682"/>
      <c r="D258" s="347"/>
      <c r="J258" s="4461"/>
      <c r="K258" s="4461"/>
      <c r="L258" s="4461"/>
      <c r="M258" s="1174"/>
      <c r="N258" s="1682"/>
      <c r="O258" s="1682"/>
      <c r="P258" s="1174"/>
      <c r="Q258" s="1174"/>
      <c r="R258" s="1174"/>
      <c r="S258" s="1174"/>
      <c r="T258" s="1682"/>
      <c r="U258" s="1174"/>
      <c r="V258" s="1174"/>
      <c r="W258" s="552"/>
      <c r="X258" s="1174"/>
      <c r="Y258" s="1174"/>
      <c r="Z258" s="1174"/>
      <c r="AA258" s="1174"/>
      <c r="AB258" s="1174"/>
      <c r="AC258" s="1678"/>
      <c r="AD258" s="574"/>
      <c r="AE258" s="574"/>
      <c r="AF258" s="574"/>
      <c r="AG258" s="574"/>
    </row>
    <row s="4362" customFormat="1" customHeight="1" ht="11.25">
      <c r="A259" s="1000"/>
      <c r="B259" s="1682"/>
      <c r="C259" s="1682"/>
      <c r="D259" s="347"/>
      <c r="J259" s="4461"/>
      <c r="K259" s="4461"/>
      <c r="L259" s="4461"/>
      <c r="M259" s="1174"/>
      <c r="N259" s="1682"/>
      <c r="O259" s="1682"/>
      <c r="P259" s="1174"/>
      <c r="Q259" s="1174"/>
      <c r="R259" s="1174"/>
      <c r="S259" s="1174"/>
      <c r="T259" s="1682"/>
      <c r="U259" s="1174"/>
      <c r="V259" s="1174"/>
      <c r="W259" s="552"/>
      <c r="X259" s="1174"/>
      <c r="Y259" s="1174"/>
      <c r="Z259" s="1174"/>
      <c r="AA259" s="1174"/>
      <c r="AB259" s="1174"/>
      <c r="AC259" s="1678"/>
      <c r="AD259" s="574"/>
      <c r="AE259" s="574"/>
      <c r="AF259" s="574"/>
      <c r="AG259" s="574"/>
    </row>
    <row s="4362" customFormat="1" customHeight="1" ht="11.25">
      <c r="A260" s="1000"/>
      <c r="B260" s="1682"/>
      <c r="C260" s="1682"/>
      <c r="D260" s="347"/>
      <c r="J260" s="4461"/>
      <c r="K260" s="4461"/>
      <c r="L260" s="4461"/>
      <c r="M260" s="1174"/>
      <c r="N260" s="1682"/>
      <c r="O260" s="1682"/>
      <c r="P260" s="1174"/>
      <c r="Q260" s="1174"/>
      <c r="R260" s="1174"/>
      <c r="S260" s="1174"/>
      <c r="T260" s="1682"/>
      <c r="U260" s="1174"/>
      <c r="V260" s="1174"/>
      <c r="W260" s="552"/>
      <c r="X260" s="1174"/>
      <c r="Y260" s="1174"/>
      <c r="Z260" s="1174"/>
      <c r="AA260" s="1174"/>
      <c r="AB260" s="1174"/>
      <c r="AC260" s="1678"/>
      <c r="AD260" s="574"/>
      <c r="AE260" s="574"/>
      <c r="AF260" s="574"/>
      <c r="AG260" s="574"/>
    </row>
    <row s="4362" customFormat="1" customHeight="1" ht="11.25">
      <c r="A261" s="1000"/>
      <c r="B261" s="1682"/>
      <c r="C261" s="1682"/>
      <c r="D261" s="347"/>
      <c r="J261" s="4461"/>
      <c r="K261" s="4461"/>
      <c r="L261" s="4461"/>
      <c r="M261" s="1174"/>
      <c r="N261" s="1682"/>
      <c r="O261" s="1682"/>
      <c r="P261" s="1174"/>
      <c r="Q261" s="1174"/>
      <c r="R261" s="1174"/>
      <c r="S261" s="1174"/>
      <c r="T261" s="1682"/>
      <c r="U261" s="1174"/>
      <c r="V261" s="1174"/>
      <c r="W261" s="552"/>
      <c r="X261" s="1174"/>
      <c r="Y261" s="1174"/>
      <c r="Z261" s="1174"/>
      <c r="AA261" s="1174"/>
      <c r="AB261" s="1174"/>
      <c r="AC261" s="1678"/>
      <c r="AD261" s="574"/>
      <c r="AE261" s="574"/>
      <c r="AF261" s="574"/>
      <c r="AG261" s="574"/>
    </row>
    <row s="4362" customFormat="1" customHeight="1" ht="11.25">
      <c r="A262" s="1000"/>
      <c r="B262" s="1682"/>
      <c r="C262" s="1682"/>
      <c r="D262" s="347"/>
      <c r="J262" s="4461"/>
      <c r="K262" s="4461"/>
      <c r="L262" s="4461"/>
      <c r="M262" s="1174"/>
      <c r="N262" s="1682"/>
      <c r="O262" s="1682"/>
      <c r="P262" s="1174"/>
      <c r="Q262" s="1174"/>
      <c r="R262" s="1174"/>
      <c r="S262" s="1174"/>
      <c r="T262" s="1682"/>
      <c r="U262" s="1174"/>
      <c r="V262" s="1174"/>
      <c r="W262" s="552"/>
      <c r="X262" s="1174"/>
      <c r="Y262" s="1174"/>
      <c r="Z262" s="1174"/>
      <c r="AA262" s="1174"/>
      <c r="AB262" s="1174"/>
      <c r="AC262" s="1678"/>
      <c r="AD262" s="574"/>
      <c r="AE262" s="574"/>
      <c r="AF262" s="574"/>
      <c r="AG262" s="574"/>
    </row>
    <row s="4362" customFormat="1" customHeight="1" ht="11.25">
      <c r="A263" s="1000"/>
      <c r="B263" s="1682"/>
      <c r="C263" s="1682"/>
      <c r="D263" s="347"/>
      <c r="J263" s="4461"/>
      <c r="K263" s="4461"/>
      <c r="L263" s="4461"/>
      <c r="M263" s="1174"/>
      <c r="N263" s="1682"/>
      <c r="O263" s="1682"/>
      <c r="P263" s="1174"/>
      <c r="Q263" s="1174"/>
      <c r="R263" s="1174"/>
      <c r="S263" s="1174"/>
      <c r="T263" s="1682"/>
      <c r="U263" s="1174"/>
      <c r="V263" s="1174"/>
      <c r="W263" s="552"/>
      <c r="X263" s="1174"/>
      <c r="Y263" s="1174"/>
      <c r="Z263" s="1174"/>
      <c r="AA263" s="1174"/>
      <c r="AB263" s="1174"/>
      <c r="AC263" s="1678"/>
      <c r="AD263" s="574"/>
      <c r="AE263" s="574"/>
      <c r="AF263" s="574"/>
      <c r="AG263" s="574"/>
    </row>
    <row s="4362" customFormat="1" customHeight="1" ht="11.25">
      <c r="A264" s="1000"/>
      <c r="B264" s="1682"/>
      <c r="C264" s="1682"/>
      <c r="D264" s="347"/>
      <c r="J264" s="4461"/>
      <c r="K264" s="4461"/>
      <c r="L264" s="4461"/>
      <c r="M264" s="1174"/>
      <c r="N264" s="1682"/>
      <c r="O264" s="1682"/>
      <c r="P264" s="1174"/>
      <c r="Q264" s="1174"/>
      <c r="R264" s="1174"/>
      <c r="S264" s="1174"/>
      <c r="T264" s="1682"/>
      <c r="U264" s="1174"/>
      <c r="V264" s="1174"/>
      <c r="W264" s="552"/>
      <c r="X264" s="1174"/>
      <c r="Y264" s="1174"/>
      <c r="Z264" s="1174"/>
      <c r="AA264" s="1174"/>
      <c r="AB264" s="1174"/>
      <c r="AC264" s="1678"/>
      <c r="AD264" s="574"/>
      <c r="AE264" s="574"/>
      <c r="AF264" s="574"/>
      <c r="AG264" s="574"/>
    </row>
    <row s="4362" customFormat="1" customHeight="1" ht="11.25">
      <c r="A265" s="1000"/>
      <c r="B265" s="1682"/>
      <c r="C265" s="1682"/>
      <c r="D265" s="347"/>
      <c r="J265" s="4461"/>
      <c r="K265" s="4461"/>
      <c r="L265" s="4461"/>
      <c r="M265" s="1174"/>
      <c r="N265" s="1682"/>
      <c r="O265" s="1682"/>
      <c r="P265" s="1174"/>
      <c r="Q265" s="1174"/>
      <c r="R265" s="1174"/>
      <c r="S265" s="1174"/>
      <c r="T265" s="1682"/>
      <c r="U265" s="1174"/>
      <c r="V265" s="1174"/>
      <c r="W265" s="552"/>
      <c r="X265" s="1174"/>
      <c r="Y265" s="1174"/>
      <c r="Z265" s="1174"/>
      <c r="AA265" s="1174"/>
      <c r="AB265" s="1174"/>
      <c r="AC265" s="1678"/>
      <c r="AD265" s="574"/>
      <c r="AE265" s="574"/>
      <c r="AF265" s="574"/>
      <c r="AG265" s="574"/>
    </row>
    <row s="4362" customFormat="1" customHeight="1" ht="11.25">
      <c r="A266" s="1000"/>
      <c r="B266" s="1682"/>
      <c r="C266" s="1682"/>
      <c r="D266" s="347"/>
      <c r="J266" s="4461"/>
      <c r="K266" s="4461"/>
      <c r="L266" s="4461"/>
      <c r="M266" s="1174"/>
      <c r="N266" s="1682"/>
      <c r="O266" s="1682"/>
      <c r="P266" s="1174"/>
      <c r="Q266" s="1174"/>
      <c r="R266" s="1174"/>
      <c r="S266" s="1174"/>
      <c r="T266" s="1682"/>
      <c r="U266" s="1174"/>
      <c r="V266" s="1174"/>
      <c r="W266" s="552"/>
      <c r="X266" s="1174"/>
      <c r="Y266" s="1174"/>
      <c r="Z266" s="1174"/>
      <c r="AA266" s="1174"/>
      <c r="AB266" s="1174"/>
      <c r="AC266" s="1678"/>
      <c r="AD266" s="574"/>
      <c r="AE266" s="574"/>
      <c r="AF266" s="574"/>
      <c r="AG266" s="574"/>
    </row>
    <row s="4362" customFormat="1" customHeight="1" ht="11.25">
      <c r="A267" s="1000"/>
      <c r="B267" s="1682"/>
      <c r="C267" s="1682"/>
      <c r="D267" s="347"/>
      <c r="J267" s="4461"/>
      <c r="K267" s="4461"/>
      <c r="L267" s="4461"/>
      <c r="M267" s="1174"/>
      <c r="N267" s="1682"/>
      <c r="O267" s="1682"/>
      <c r="P267" s="1174"/>
      <c r="Q267" s="1174"/>
      <c r="R267" s="1174"/>
      <c r="S267" s="1174"/>
      <c r="T267" s="1682"/>
      <c r="U267" s="1174"/>
      <c r="V267" s="1174"/>
      <c r="W267" s="552"/>
      <c r="X267" s="1174"/>
      <c r="Y267" s="1174"/>
      <c r="Z267" s="1174"/>
      <c r="AA267" s="1174"/>
      <c r="AB267" s="1174"/>
      <c r="AC267" s="1678"/>
      <c r="AD267" s="574"/>
      <c r="AE267" s="574"/>
      <c r="AF267" s="574"/>
      <c r="AG267" s="574"/>
    </row>
    <row s="4362" customFormat="1" customHeight="1" ht="11.25">
      <c r="A268" s="1000"/>
      <c r="B268" s="1682"/>
      <c r="C268" s="1682"/>
      <c r="D268" s="347"/>
      <c r="J268" s="4461"/>
      <c r="K268" s="4461"/>
      <c r="L268" s="4461"/>
      <c r="M268" s="1174"/>
      <c r="N268" s="1682"/>
      <c r="O268" s="1682"/>
      <c r="P268" s="1174"/>
      <c r="Q268" s="1174"/>
      <c r="R268" s="1174"/>
      <c r="S268" s="1174"/>
      <c r="T268" s="1682"/>
      <c r="U268" s="1174"/>
      <c r="V268" s="1174"/>
      <c r="W268" s="552"/>
      <c r="X268" s="1174"/>
      <c r="Y268" s="1174"/>
      <c r="Z268" s="1174"/>
      <c r="AA268" s="1174"/>
      <c r="AB268" s="1174"/>
      <c r="AC268" s="1678"/>
      <c r="AD268" s="574"/>
      <c r="AE268" s="574"/>
      <c r="AF268" s="574"/>
      <c r="AG268" s="574"/>
    </row>
    <row s="4362" customFormat="1" customHeight="1" ht="11.25">
      <c r="A269" s="1000"/>
      <c r="B269" s="1682"/>
      <c r="C269" s="1682"/>
      <c r="D269" s="347"/>
      <c r="J269" s="4461"/>
      <c r="K269" s="4461"/>
      <c r="L269" s="4461"/>
      <c r="M269" s="1174"/>
      <c r="N269" s="1682"/>
      <c r="O269" s="1682"/>
      <c r="P269" s="1174"/>
      <c r="Q269" s="1174"/>
      <c r="R269" s="1174"/>
      <c r="S269" s="1174"/>
      <c r="T269" s="1682"/>
      <c r="U269" s="1174"/>
      <c r="V269" s="1174"/>
      <c r="W269" s="552"/>
      <c r="X269" s="1174"/>
      <c r="Y269" s="1174"/>
      <c r="Z269" s="1174"/>
      <c r="AA269" s="1174"/>
      <c r="AB269" s="1174"/>
      <c r="AC269" s="1678"/>
      <c r="AD269" s="574"/>
      <c r="AE269" s="574"/>
      <c r="AF269" s="574"/>
      <c r="AG269" s="574"/>
    </row>
    <row s="4362" customFormat="1" customHeight="1" ht="11.25">
      <c r="A270" s="1000"/>
      <c r="B270" s="1682"/>
      <c r="C270" s="1682"/>
      <c r="D270" s="347"/>
      <c r="J270" s="4461"/>
      <c r="K270" s="4461"/>
      <c r="L270" s="4461"/>
      <c r="M270" s="1174"/>
      <c r="N270" s="1682"/>
      <c r="O270" s="1682"/>
      <c r="P270" s="1174"/>
      <c r="Q270" s="1174"/>
      <c r="R270" s="1174"/>
      <c r="S270" s="1174"/>
      <c r="T270" s="1682"/>
      <c r="U270" s="1174"/>
      <c r="V270" s="1174"/>
      <c r="W270" s="552"/>
      <c r="X270" s="1174"/>
      <c r="Y270" s="1174"/>
      <c r="Z270" s="1174"/>
      <c r="AA270" s="1174"/>
      <c r="AB270" s="1174"/>
      <c r="AC270" s="1678"/>
      <c r="AD270" s="574"/>
      <c r="AE270" s="574"/>
      <c r="AF270" s="574"/>
      <c r="AG270" s="574"/>
    </row>
    <row s="4362" customFormat="1" customHeight="1" ht="11.25">
      <c r="A271" s="1000"/>
      <c r="B271" s="1682"/>
      <c r="C271" s="1682"/>
      <c r="D271" s="347"/>
      <c r="J271" s="4461"/>
      <c r="K271" s="4461"/>
      <c r="L271" s="4461"/>
      <c r="M271" s="1174"/>
      <c r="N271" s="1682"/>
      <c r="O271" s="1682"/>
      <c r="P271" s="1174"/>
      <c r="Q271" s="1174"/>
      <c r="R271" s="1174"/>
      <c r="S271" s="1174"/>
      <c r="T271" s="1682"/>
      <c r="U271" s="1174"/>
      <c r="V271" s="1174"/>
      <c r="W271" s="552"/>
      <c r="X271" s="1174"/>
      <c r="Y271" s="1174"/>
      <c r="Z271" s="1174"/>
      <c r="AA271" s="1174"/>
      <c r="AB271" s="1174"/>
      <c r="AC271" s="1678"/>
      <c r="AD271" s="574"/>
      <c r="AE271" s="574"/>
      <c r="AF271" s="574"/>
      <c r="AG271" s="574"/>
    </row>
    <row s="4362" customFormat="1" customHeight="1" ht="11.25">
      <c r="A272" s="1000"/>
      <c r="B272" s="1682"/>
      <c r="C272" s="1682"/>
      <c r="D272" s="347"/>
      <c r="J272" s="4461"/>
      <c r="K272" s="4461"/>
      <c r="L272" s="4461"/>
      <c r="M272" s="1174"/>
      <c r="N272" s="1682"/>
      <c r="O272" s="1682"/>
      <c r="P272" s="1174"/>
      <c r="Q272" s="1174"/>
      <c r="R272" s="1174"/>
      <c r="S272" s="1174"/>
      <c r="T272" s="1682"/>
      <c r="U272" s="1174"/>
      <c r="V272" s="1174"/>
      <c r="W272" s="552"/>
      <c r="X272" s="1174"/>
      <c r="Y272" s="1174"/>
      <c r="Z272" s="1174"/>
      <c r="AA272" s="1174"/>
      <c r="AB272" s="1174"/>
      <c r="AC272" s="1678"/>
      <c r="AD272" s="574"/>
      <c r="AE272" s="574"/>
      <c r="AF272" s="574"/>
      <c r="AG272" s="574"/>
    </row>
    <row s="4362" customFormat="1" customHeight="1" ht="11.25">
      <c r="A273" s="1000"/>
      <c r="B273" s="1682"/>
      <c r="C273" s="1682"/>
      <c r="D273" s="347"/>
      <c r="J273" s="4461"/>
      <c r="K273" s="4461"/>
      <c r="L273" s="4461"/>
      <c r="M273" s="1174"/>
      <c r="N273" s="1682"/>
      <c r="O273" s="1682"/>
      <c r="P273" s="1174"/>
      <c r="Q273" s="1174"/>
      <c r="R273" s="1174"/>
      <c r="S273" s="1174"/>
      <c r="T273" s="1682"/>
      <c r="U273" s="1174"/>
      <c r="V273" s="1174"/>
      <c r="W273" s="552"/>
      <c r="X273" s="1174"/>
      <c r="Y273" s="1174"/>
      <c r="Z273" s="1174"/>
      <c r="AA273" s="1174"/>
      <c r="AB273" s="1174"/>
      <c r="AC273" s="1678"/>
      <c r="AD273" s="574"/>
      <c r="AE273" s="574"/>
      <c r="AF273" s="574"/>
      <c r="AG273" s="574"/>
    </row>
    <row s="4362" customFormat="1" customHeight="1" ht="11.25">
      <c r="A274" s="1000"/>
      <c r="B274" s="1682"/>
      <c r="C274" s="1682"/>
      <c r="D274" s="347"/>
      <c r="J274" s="4461"/>
      <c r="K274" s="4461"/>
      <c r="L274" s="4461"/>
      <c r="M274" s="1174"/>
      <c r="N274" s="1682"/>
      <c r="O274" s="1682"/>
      <c r="P274" s="1174"/>
      <c r="Q274" s="1174"/>
      <c r="R274" s="1174"/>
      <c r="S274" s="1174"/>
      <c r="T274" s="1682"/>
      <c r="U274" s="1174"/>
      <c r="V274" s="1174"/>
      <c r="W274" s="552"/>
      <c r="X274" s="1174"/>
      <c r="Y274" s="1174"/>
      <c r="Z274" s="1174"/>
      <c r="AA274" s="1174"/>
      <c r="AB274" s="1174"/>
      <c r="AC274" s="1678"/>
      <c r="AD274" s="574"/>
      <c r="AE274" s="574"/>
      <c r="AF274" s="574"/>
      <c r="AG274" s="574"/>
    </row>
    <row s="4362" customFormat="1" customHeight="1" ht="11.25">
      <c r="A275" s="1000"/>
      <c r="B275" s="1682"/>
      <c r="C275" s="1682"/>
      <c r="D275" s="347"/>
      <c r="J275" s="4461"/>
      <c r="K275" s="4461"/>
      <c r="L275" s="4461"/>
      <c r="M275" s="1174"/>
      <c r="N275" s="1682"/>
      <c r="O275" s="1682"/>
      <c r="P275" s="1174"/>
      <c r="Q275" s="1174"/>
      <c r="R275" s="1174"/>
      <c r="S275" s="1174"/>
      <c r="T275" s="1682"/>
      <c r="U275" s="1174"/>
      <c r="V275" s="1174"/>
      <c r="W275" s="552"/>
      <c r="X275" s="1174"/>
      <c r="Y275" s="1174"/>
      <c r="Z275" s="1174"/>
      <c r="AA275" s="1174"/>
      <c r="AB275" s="1174"/>
      <c r="AC275" s="1678"/>
      <c r="AD275" s="574"/>
      <c r="AE275" s="574"/>
      <c r="AF275" s="574"/>
      <c r="AG275" s="574"/>
    </row>
    <row s="4362" customFormat="1" customHeight="1" ht="11.25">
      <c r="A276" s="1000"/>
      <c r="B276" s="1682"/>
      <c r="C276" s="1682"/>
      <c r="D276" s="347"/>
      <c r="J276" s="4461"/>
      <c r="K276" s="4461"/>
      <c r="L276" s="4461"/>
      <c r="M276" s="1174"/>
      <c r="N276" s="1682"/>
      <c r="O276" s="1682"/>
      <c r="P276" s="1174"/>
      <c r="Q276" s="1174"/>
      <c r="R276" s="1174"/>
      <c r="S276" s="1174"/>
      <c r="T276" s="1682"/>
      <c r="U276" s="1174"/>
      <c r="V276" s="1174"/>
      <c r="W276" s="552"/>
      <c r="X276" s="1174"/>
      <c r="Y276" s="1174"/>
      <c r="Z276" s="1174"/>
      <c r="AA276" s="1174"/>
      <c r="AB276" s="1174"/>
      <c r="AC276" s="1678"/>
      <c r="AD276" s="574"/>
      <c r="AE276" s="574"/>
      <c r="AF276" s="574"/>
      <c r="AG276" s="574"/>
    </row>
    <row s="4362" customFormat="1" customHeight="1" ht="11.25">
      <c r="A277" s="1000"/>
      <c r="B277" s="1682"/>
      <c r="C277" s="1682"/>
      <c r="D277" s="347"/>
      <c r="J277" s="4461"/>
      <c r="K277" s="4461"/>
      <c r="L277" s="4461"/>
      <c r="M277" s="1174"/>
      <c r="N277" s="1682"/>
      <c r="O277" s="1682"/>
      <c r="P277" s="1174"/>
      <c r="Q277" s="1174"/>
      <c r="R277" s="1174"/>
      <c r="S277" s="1174"/>
      <c r="T277" s="1682"/>
      <c r="U277" s="1174"/>
      <c r="V277" s="1174"/>
      <c r="W277" s="552"/>
      <c r="X277" s="1174"/>
      <c r="Y277" s="1174"/>
      <c r="Z277" s="1174"/>
      <c r="AA277" s="1174"/>
      <c r="AB277" s="1174"/>
      <c r="AC277" s="1678"/>
      <c r="AD277" s="574"/>
      <c r="AE277" s="574"/>
      <c r="AF277" s="574"/>
      <c r="AG277" s="574"/>
    </row>
    <row s="4362" customFormat="1" customHeight="1" ht="11.25">
      <c r="A278" s="1000"/>
      <c r="B278" s="1682"/>
      <c r="C278" s="1682"/>
      <c r="D278" s="347"/>
      <c r="J278" s="4461"/>
      <c r="K278" s="4461"/>
      <c r="L278" s="4461"/>
      <c r="M278" s="1174"/>
      <c r="N278" s="1682"/>
      <c r="O278" s="1682"/>
      <c r="P278" s="1174"/>
      <c r="Q278" s="1174"/>
      <c r="R278" s="1174"/>
      <c r="S278" s="1174"/>
      <c r="T278" s="1682"/>
      <c r="U278" s="1174"/>
      <c r="V278" s="1174"/>
      <c r="W278" s="552"/>
      <c r="X278" s="1174"/>
      <c r="Y278" s="1174"/>
      <c r="Z278" s="1174"/>
      <c r="AA278" s="1174"/>
      <c r="AB278" s="1174"/>
      <c r="AC278" s="1678"/>
      <c r="AD278" s="574"/>
      <c r="AE278" s="574"/>
      <c r="AF278" s="574"/>
      <c r="AG278" s="574"/>
    </row>
    <row s="4362" customFormat="1" customHeight="1" ht="11.25">
      <c r="A279" s="1000"/>
      <c r="B279" s="1682"/>
      <c r="C279" s="1682"/>
      <c r="D279" s="347"/>
      <c r="J279" s="4461"/>
      <c r="K279" s="4461"/>
      <c r="L279" s="4461"/>
      <c r="M279" s="1174"/>
      <c r="N279" s="1682"/>
      <c r="O279" s="1682"/>
      <c r="P279" s="1174"/>
      <c r="Q279" s="1174"/>
      <c r="R279" s="1174"/>
      <c r="S279" s="1174"/>
      <c r="T279" s="1682"/>
      <c r="U279" s="1174"/>
      <c r="V279" s="1174"/>
      <c r="W279" s="552"/>
      <c r="X279" s="1174"/>
      <c r="Y279" s="1174"/>
      <c r="Z279" s="1174"/>
      <c r="AA279" s="1174"/>
      <c r="AB279" s="1174"/>
      <c r="AC279" s="1678"/>
      <c r="AD279" s="574"/>
      <c r="AE279" s="574"/>
      <c r="AF279" s="574"/>
      <c r="AG279" s="574"/>
    </row>
    <row s="4362" customFormat="1" customHeight="1" ht="11.25">
      <c r="A280" s="1000"/>
      <c r="B280" s="1682"/>
      <c r="C280" s="1682"/>
      <c r="D280" s="347"/>
      <c r="J280" s="4461"/>
      <c r="K280" s="4461"/>
      <c r="L280" s="4461"/>
      <c r="M280" s="1174"/>
      <c r="N280" s="1682"/>
      <c r="O280" s="1682"/>
      <c r="P280" s="1174"/>
      <c r="Q280" s="1174"/>
      <c r="R280" s="1174"/>
      <c r="S280" s="1174"/>
      <c r="T280" s="1682"/>
      <c r="U280" s="1174"/>
      <c r="V280" s="1174"/>
      <c r="W280" s="552"/>
      <c r="X280" s="1174"/>
      <c r="Y280" s="1174"/>
      <c r="Z280" s="1174"/>
      <c r="AA280" s="1174"/>
      <c r="AB280" s="1174"/>
      <c r="AC280" s="1678"/>
      <c r="AD280" s="574"/>
      <c r="AE280" s="574"/>
      <c r="AF280" s="574"/>
      <c r="AG280" s="574"/>
    </row>
    <row s="4362" customFormat="1" customHeight="1" ht="11.25">
      <c r="A281" s="1000"/>
      <c r="B281" s="1682"/>
      <c r="C281" s="1682"/>
      <c r="D281" s="347"/>
      <c r="J281" s="4461"/>
      <c r="K281" s="4461"/>
      <c r="L281" s="4461"/>
      <c r="M281" s="1174"/>
      <c r="N281" s="1682"/>
      <c r="O281" s="1682"/>
      <c r="P281" s="1174"/>
      <c r="Q281" s="1174"/>
      <c r="R281" s="1174"/>
      <c r="S281" s="1174"/>
      <c r="T281" s="1682"/>
      <c r="U281" s="1174"/>
      <c r="V281" s="1174"/>
      <c r="W281" s="552"/>
      <c r="X281" s="1174"/>
      <c r="Y281" s="1174"/>
      <c r="Z281" s="1174"/>
      <c r="AA281" s="1174"/>
      <c r="AB281" s="1174"/>
      <c r="AC281" s="1678"/>
      <c r="AD281" s="574"/>
      <c r="AE281" s="574"/>
      <c r="AF281" s="574"/>
      <c r="AG281" s="574"/>
    </row>
    <row s="4362" customFormat="1" customHeight="1" ht="11.25">
      <c r="A282" s="1000"/>
      <c r="B282" s="1682"/>
      <c r="C282" s="1682"/>
      <c r="D282" s="347"/>
      <c r="J282" s="4461"/>
      <c r="K282" s="4461"/>
      <c r="L282" s="4461"/>
      <c r="M282" s="1174"/>
      <c r="N282" s="1682"/>
      <c r="O282" s="1682"/>
      <c r="P282" s="1174"/>
      <c r="Q282" s="1174"/>
      <c r="R282" s="1174"/>
      <c r="S282" s="1174"/>
      <c r="T282" s="1682"/>
      <c r="U282" s="1174"/>
      <c r="V282" s="1174"/>
      <c r="W282" s="552"/>
      <c r="X282" s="1174"/>
      <c r="Y282" s="1174"/>
      <c r="Z282" s="1174"/>
      <c r="AA282" s="1174"/>
      <c r="AB282" s="1174"/>
      <c r="AC282" s="1678"/>
      <c r="AD282" s="574"/>
      <c r="AE282" s="574"/>
      <c r="AF282" s="574"/>
      <c r="AG282" s="574"/>
    </row>
    <row s="4362" customFormat="1" customHeight="1" ht="11.25">
      <c r="A283" s="1000"/>
      <c r="B283" s="1682"/>
      <c r="C283" s="1682"/>
      <c r="D283" s="347"/>
      <c r="J283" s="4461"/>
      <c r="K283" s="4461"/>
      <c r="L283" s="4461"/>
      <c r="M283" s="1174"/>
      <c r="N283" s="1682"/>
      <c r="O283" s="1682"/>
      <c r="P283" s="1174"/>
      <c r="Q283" s="1174"/>
      <c r="R283" s="1174"/>
      <c r="S283" s="1174"/>
      <c r="T283" s="1682"/>
      <c r="U283" s="1174"/>
      <c r="V283" s="1174"/>
      <c r="W283" s="552"/>
      <c r="X283" s="1174"/>
      <c r="Y283" s="1174"/>
      <c r="Z283" s="1174"/>
      <c r="AA283" s="1174"/>
      <c r="AB283" s="1174"/>
      <c r="AC283" s="1678"/>
      <c r="AD283" s="574"/>
      <c r="AE283" s="574"/>
      <c r="AF283" s="574"/>
      <c r="AG283" s="574"/>
    </row>
    <row s="4362" customFormat="1" customHeight="1" ht="11.25">
      <c r="A284" s="1000"/>
      <c r="B284" s="1682"/>
      <c r="C284" s="1682"/>
      <c r="D284" s="347"/>
      <c r="J284" s="4461"/>
      <c r="K284" s="4461"/>
      <c r="L284" s="4461"/>
      <c r="M284" s="1174"/>
      <c r="N284" s="1682"/>
      <c r="O284" s="1682"/>
      <c r="P284" s="1174"/>
      <c r="Q284" s="1174"/>
      <c r="R284" s="1174"/>
      <c r="S284" s="1174"/>
      <c r="T284" s="1682"/>
      <c r="U284" s="1174"/>
      <c r="V284" s="1174"/>
      <c r="W284" s="552"/>
      <c r="X284" s="1174"/>
      <c r="Y284" s="1174"/>
      <c r="Z284" s="1174"/>
      <c r="AA284" s="1174"/>
      <c r="AB284" s="1174"/>
      <c r="AC284" s="1678"/>
      <c r="AD284" s="574"/>
      <c r="AE284" s="574"/>
      <c r="AF284" s="574"/>
      <c r="AG284" s="574"/>
    </row>
    <row s="4362" customFormat="1" customHeight="1" ht="11.25">
      <c r="A285" s="1000"/>
      <c r="B285" s="1682"/>
      <c r="C285" s="1682"/>
      <c r="D285" s="347"/>
      <c r="J285" s="4461"/>
      <c r="K285" s="4461"/>
      <c r="L285" s="4461"/>
      <c r="M285" s="1174"/>
      <c r="N285" s="1682"/>
      <c r="O285" s="1682"/>
      <c r="P285" s="1174"/>
      <c r="Q285" s="1174"/>
      <c r="R285" s="1174"/>
      <c r="S285" s="1174"/>
      <c r="T285" s="1682"/>
      <c r="U285" s="1174"/>
      <c r="V285" s="1174"/>
      <c r="W285" s="552"/>
      <c r="X285" s="1174"/>
      <c r="Y285" s="1174"/>
      <c r="Z285" s="1174"/>
      <c r="AA285" s="1174"/>
      <c r="AB285" s="1174"/>
      <c r="AC285" s="1678"/>
      <c r="AD285" s="574"/>
      <c r="AE285" s="574"/>
      <c r="AF285" s="574"/>
      <c r="AG285" s="574"/>
    </row>
    <row s="4362" customFormat="1" customHeight="1" ht="11.25">
      <c r="A286" s="1000"/>
      <c r="B286" s="1682"/>
      <c r="C286" s="1682"/>
      <c r="D286" s="347"/>
      <c r="J286" s="4461"/>
      <c r="K286" s="4461"/>
      <c r="L286" s="4461"/>
      <c r="M286" s="1174"/>
      <c r="N286" s="1682"/>
      <c r="O286" s="1682"/>
      <c r="P286" s="1174"/>
      <c r="Q286" s="1174"/>
      <c r="R286" s="1174"/>
      <c r="S286" s="1174"/>
      <c r="T286" s="1682"/>
      <c r="U286" s="1174"/>
      <c r="V286" s="1174"/>
      <c r="W286" s="552"/>
      <c r="X286" s="1174"/>
      <c r="Y286" s="1174"/>
      <c r="Z286" s="1174"/>
      <c r="AA286" s="1174"/>
      <c r="AB286" s="1174"/>
      <c r="AC286" s="1678"/>
      <c r="AD286" s="574"/>
      <c r="AE286" s="574"/>
      <c r="AF286" s="574"/>
      <c r="AG286" s="574"/>
    </row>
    <row s="4362" customFormat="1" customHeight="1" ht="11.25">
      <c r="A287" s="1000"/>
      <c r="B287" s="1682"/>
      <c r="C287" s="1682"/>
      <c r="D287" s="347"/>
      <c r="J287" s="4461"/>
      <c r="K287" s="4461"/>
      <c r="L287" s="4461"/>
      <c r="M287" s="1174"/>
      <c r="N287" s="1682"/>
      <c r="O287" s="1682"/>
      <c r="P287" s="1174"/>
      <c r="Q287" s="1174"/>
      <c r="R287" s="1174"/>
      <c r="S287" s="1174"/>
      <c r="T287" s="1682"/>
      <c r="U287" s="1174"/>
      <c r="V287" s="1174"/>
      <c r="W287" s="552"/>
      <c r="X287" s="1174"/>
      <c r="Y287" s="1174"/>
      <c r="Z287" s="1174"/>
      <c r="AA287" s="1174"/>
      <c r="AB287" s="1174"/>
      <c r="AC287" s="1678"/>
      <c r="AD287" s="574"/>
      <c r="AE287" s="574"/>
      <c r="AF287" s="574"/>
      <c r="AG287" s="574"/>
    </row>
    <row s="4362" customFormat="1" customHeight="1" ht="11.25">
      <c r="A288" s="1000"/>
      <c r="B288" s="1682"/>
      <c r="C288" s="1682"/>
      <c r="D288" s="347"/>
      <c r="J288" s="4461"/>
      <c r="K288" s="4461"/>
      <c r="L288" s="4461"/>
      <c r="M288" s="1174"/>
      <c r="N288" s="1682"/>
      <c r="O288" s="1682"/>
      <c r="P288" s="1174"/>
      <c r="Q288" s="1174"/>
      <c r="R288" s="1174"/>
      <c r="S288" s="1174"/>
      <c r="T288" s="1682"/>
      <c r="U288" s="1174"/>
      <c r="V288" s="1174"/>
      <c r="W288" s="552"/>
      <c r="X288" s="1174"/>
      <c r="Y288" s="1174"/>
      <c r="Z288" s="1174"/>
      <c r="AA288" s="1174"/>
      <c r="AB288" s="1174"/>
      <c r="AC288" s="1678"/>
      <c r="AD288" s="574"/>
      <c r="AE288" s="574"/>
      <c r="AF288" s="574"/>
      <c r="AG288" s="574"/>
    </row>
    <row s="4362" customFormat="1" customHeight="1" ht="11.25">
      <c r="A289" s="1000"/>
      <c r="B289" s="1682"/>
      <c r="C289" s="1682"/>
      <c r="D289" s="347"/>
      <c r="J289" s="4461"/>
      <c r="K289" s="4461"/>
      <c r="L289" s="4461"/>
      <c r="M289" s="1174"/>
      <c r="N289" s="1682"/>
      <c r="O289" s="1682"/>
      <c r="P289" s="1174"/>
      <c r="Q289" s="1174"/>
      <c r="R289" s="1174"/>
      <c r="S289" s="1174"/>
      <c r="T289" s="1682"/>
      <c r="U289" s="1174"/>
      <c r="V289" s="1174"/>
      <c r="W289" s="552"/>
      <c r="X289" s="1174"/>
      <c r="Y289" s="1174"/>
      <c r="Z289" s="1174"/>
      <c r="AA289" s="1174"/>
      <c r="AB289" s="1174"/>
      <c r="AC289" s="1678"/>
      <c r="AD289" s="574"/>
      <c r="AE289" s="574"/>
      <c r="AF289" s="574"/>
      <c r="AG289" s="574"/>
    </row>
    <row s="4362" customFormat="1" customHeight="1" ht="11.25">
      <c r="A290" s="1000"/>
      <c r="B290" s="1682"/>
      <c r="C290" s="1682"/>
      <c r="D290" s="347"/>
      <c r="J290" s="4461"/>
      <c r="K290" s="4461"/>
      <c r="L290" s="4461"/>
      <c r="M290" s="1174"/>
      <c r="N290" s="1682"/>
      <c r="O290" s="1682"/>
      <c r="P290" s="1174"/>
      <c r="Q290" s="1174"/>
      <c r="R290" s="1174"/>
      <c r="S290" s="1174"/>
      <c r="T290" s="1682"/>
      <c r="U290" s="1174"/>
      <c r="V290" s="1174"/>
      <c r="W290" s="552"/>
      <c r="X290" s="1174"/>
      <c r="Y290" s="1174"/>
      <c r="Z290" s="1174"/>
      <c r="AA290" s="1174"/>
      <c r="AB290" s="1174"/>
      <c r="AC290" s="1678"/>
      <c r="AD290" s="574"/>
      <c r="AE290" s="574"/>
      <c r="AF290" s="574"/>
      <c r="AG290" s="574"/>
    </row>
    <row s="4362" customFormat="1" customHeight="1" ht="11.25">
      <c r="A291" s="1000"/>
      <c r="B291" s="1682"/>
      <c r="C291" s="1682"/>
      <c r="D291" s="347"/>
      <c r="J291" s="4461"/>
      <c r="K291" s="4461"/>
      <c r="L291" s="4461"/>
      <c r="M291" s="1174"/>
      <c r="N291" s="1682"/>
      <c r="O291" s="1682"/>
      <c r="P291" s="1174"/>
      <c r="Q291" s="1174"/>
      <c r="R291" s="1174"/>
      <c r="S291" s="1174"/>
      <c r="T291" s="1682"/>
      <c r="U291" s="1174"/>
      <c r="V291" s="1174"/>
      <c r="W291" s="552"/>
      <c r="X291" s="1174"/>
      <c r="Y291" s="1174"/>
      <c r="Z291" s="1174"/>
      <c r="AA291" s="1174"/>
      <c r="AB291" s="1174"/>
      <c r="AC291" s="1678"/>
      <c r="AD291" s="574"/>
      <c r="AE291" s="574"/>
      <c r="AF291" s="574"/>
      <c r="AG291" s="574"/>
    </row>
    <row s="4362" customFormat="1" customHeight="1" ht="11.25">
      <c r="A292" s="1000"/>
      <c r="B292" s="1682"/>
      <c r="C292" s="1682"/>
      <c r="D292" s="347"/>
      <c r="J292" s="4461"/>
      <c r="K292" s="4461"/>
      <c r="L292" s="4461"/>
      <c r="M292" s="1174"/>
      <c r="N292" s="1682"/>
      <c r="O292" s="1682"/>
      <c r="P292" s="1174"/>
      <c r="Q292" s="1174"/>
      <c r="R292" s="1174"/>
      <c r="S292" s="1174"/>
      <c r="T292" s="1682"/>
      <c r="U292" s="1174"/>
      <c r="V292" s="1174"/>
      <c r="W292" s="552"/>
      <c r="X292" s="1174"/>
      <c r="Y292" s="1174"/>
      <c r="Z292" s="1174"/>
      <c r="AA292" s="1174"/>
      <c r="AB292" s="1174"/>
      <c r="AC292" s="1678"/>
      <c r="AD292" s="574"/>
      <c r="AE292" s="574"/>
      <c r="AF292" s="574"/>
      <c r="AG292" s="574"/>
    </row>
    <row customHeight="1" ht="11.25">
      <c r="J293" s="4122"/>
      <c r="K293" s="4122"/>
      <c r="L293" s="4122"/>
    </row>
    <row customHeight="1" ht="11.25">
      <c r="J294" s="4122"/>
      <c r="K294" s="4122"/>
      <c r="L294" s="4122"/>
    </row>
    <row customHeight="1" ht="11.25">
      <c r="J295" s="4122"/>
      <c r="K295" s="4122"/>
      <c r="L295" s="4122"/>
    </row>
    <row customHeight="1" ht="11.25">
      <c r="A296" s="1003"/>
      <c r="B296" s="1677"/>
      <c r="D296" s="1677"/>
      <c r="J296" s="4122"/>
      <c r="K296" s="4122"/>
      <c r="L296" s="4122"/>
      <c r="M296" s="1677"/>
      <c r="P296" s="1677"/>
      <c r="Q296" s="1677"/>
      <c r="R296" s="1677"/>
      <c r="S296" s="1677"/>
      <c r="U296" s="1677"/>
      <c r="V296" s="1677"/>
      <c r="W296" s="1677"/>
      <c r="X296" s="1677"/>
      <c r="Y296" s="1677"/>
      <c r="Z296" s="1677"/>
      <c r="AA296" s="1677"/>
      <c r="AB296" s="1677"/>
      <c r="AC296" s="1677"/>
      <c r="AD296" s="1677"/>
      <c r="AE296" s="1677"/>
      <c r="AF296" s="1677"/>
      <c r="AG296" s="1677"/>
    </row>
    <row customHeight="1" ht="11.25">
      <c r="A297" s="1003"/>
      <c r="B297" s="1677"/>
      <c r="D297" s="1677"/>
      <c r="J297" s="4122"/>
      <c r="K297" s="4122"/>
      <c r="L297" s="4122"/>
      <c r="M297" s="1677"/>
      <c r="P297" s="1677"/>
      <c r="Q297" s="1677"/>
      <c r="R297" s="1677"/>
      <c r="S297" s="1677"/>
      <c r="U297" s="1677"/>
      <c r="V297" s="1677"/>
      <c r="W297" s="1677"/>
      <c r="X297" s="1677"/>
      <c r="Y297" s="1677"/>
      <c r="Z297" s="1677"/>
      <c r="AA297" s="1677"/>
      <c r="AB297" s="1677"/>
      <c r="AC297" s="1677"/>
      <c r="AD297" s="1677"/>
      <c r="AE297" s="1677"/>
      <c r="AF297" s="1677"/>
      <c r="AG297" s="1677"/>
    </row>
    <row customHeight="1" ht="11.25">
      <c r="A298" s="1003"/>
      <c r="B298" s="1677"/>
      <c r="D298" s="1677"/>
      <c r="J298" s="4122"/>
      <c r="K298" s="4122"/>
      <c r="L298" s="4122"/>
      <c r="M298" s="1677"/>
      <c r="P298" s="1677"/>
      <c r="Q298" s="1677"/>
      <c r="R298" s="1677"/>
      <c r="S298" s="1677"/>
      <c r="U298" s="1677"/>
      <c r="V298" s="1677"/>
      <c r="W298" s="1677"/>
      <c r="X298" s="1677"/>
      <c r="Y298" s="1677"/>
      <c r="Z298" s="1677"/>
      <c r="AA298" s="1677"/>
      <c r="AB298" s="1677"/>
      <c r="AC298" s="1677"/>
      <c r="AD298" s="1677"/>
      <c r="AE298" s="1677"/>
      <c r="AF298" s="1677"/>
      <c r="AG298" s="1677"/>
    </row>
    <row customHeight="1" ht="11.25">
      <c r="A299" s="1003"/>
      <c r="B299" s="1677"/>
      <c r="D299" s="1677"/>
      <c r="J299" s="4122"/>
      <c r="K299" s="4122"/>
      <c r="L299" s="4122"/>
      <c r="M299" s="1677"/>
      <c r="P299" s="1677"/>
      <c r="Q299" s="1677"/>
      <c r="R299" s="1677"/>
      <c r="S299" s="1677"/>
      <c r="U299" s="1677"/>
      <c r="V299" s="1677"/>
      <c r="W299" s="1677"/>
      <c r="X299" s="1677"/>
      <c r="Y299" s="1677"/>
      <c r="Z299" s="1677"/>
      <c r="AA299" s="1677"/>
      <c r="AB299" s="1677"/>
      <c r="AC299" s="1677"/>
      <c r="AD299" s="1677"/>
      <c r="AE299" s="1677"/>
      <c r="AF299" s="1677"/>
      <c r="AG299" s="1677"/>
    </row>
    <row customHeight="1" ht="11.25">
      <c r="A300" s="1003"/>
      <c r="B300" s="1677"/>
      <c r="D300" s="1677"/>
      <c r="J300" s="4122"/>
      <c r="K300" s="4122"/>
      <c r="L300" s="4122"/>
      <c r="M300" s="1677"/>
      <c r="P300" s="1677"/>
      <c r="Q300" s="1677"/>
      <c r="R300" s="1677"/>
      <c r="S300" s="1677"/>
      <c r="U300" s="1677"/>
      <c r="V300" s="1677"/>
      <c r="W300" s="1677"/>
      <c r="X300" s="1677"/>
      <c r="Y300" s="1677"/>
      <c r="Z300" s="1677"/>
      <c r="AA300" s="1677"/>
      <c r="AB300" s="1677"/>
      <c r="AC300" s="1677"/>
      <c r="AD300" s="1677"/>
      <c r="AE300" s="1677"/>
      <c r="AF300" s="1677"/>
      <c r="AG300" s="1677"/>
    </row>
    <row customHeight="1" ht="11.25">
      <c r="A301" s="1003"/>
      <c r="B301" s="1677"/>
      <c r="D301" s="1677"/>
      <c r="J301" s="4122"/>
      <c r="K301" s="4122"/>
      <c r="L301" s="4122"/>
      <c r="M301" s="1677"/>
      <c r="P301" s="1677"/>
      <c r="Q301" s="1677"/>
      <c r="R301" s="1677"/>
      <c r="S301" s="1677"/>
      <c r="U301" s="1677"/>
      <c r="V301" s="1677"/>
      <c r="W301" s="1677"/>
      <c r="X301" s="1677"/>
      <c r="Y301" s="1677"/>
      <c r="Z301" s="1677"/>
      <c r="AA301" s="1677"/>
      <c r="AB301" s="1677"/>
      <c r="AC301" s="1677"/>
      <c r="AD301" s="1677"/>
      <c r="AE301" s="1677"/>
      <c r="AF301" s="1677"/>
      <c r="AG301" s="1677"/>
    </row>
    <row customHeight="1" ht="11.25">
      <c r="A302" s="1003"/>
      <c r="B302" s="1677"/>
      <c r="D302" s="1677"/>
      <c r="J302" s="4122"/>
      <c r="K302" s="4122"/>
      <c r="L302" s="4122"/>
      <c r="M302" s="1677"/>
      <c r="P302" s="1677"/>
      <c r="Q302" s="1677"/>
      <c r="R302" s="1677"/>
      <c r="S302" s="1677"/>
      <c r="U302" s="1677"/>
      <c r="V302" s="1677"/>
      <c r="W302" s="1677"/>
      <c r="X302" s="1677"/>
      <c r="Y302" s="1677"/>
      <c r="Z302" s="1677"/>
      <c r="AA302" s="1677"/>
      <c r="AB302" s="1677"/>
      <c r="AC302" s="1677"/>
      <c r="AD302" s="1677"/>
      <c r="AE302" s="1677"/>
      <c r="AF302" s="1677"/>
      <c r="AG302" s="1677"/>
    </row>
    <row customHeight="1" ht="11.25">
      <c r="A303" s="1003"/>
      <c r="B303" s="1677"/>
      <c r="D303" s="1677"/>
      <c r="J303" s="4122"/>
      <c r="K303" s="4122"/>
      <c r="L303" s="4122"/>
      <c r="M303" s="1677"/>
      <c r="P303" s="1677"/>
      <c r="Q303" s="1677"/>
      <c r="R303" s="1677"/>
      <c r="S303" s="1677"/>
      <c r="U303" s="1677"/>
      <c r="V303" s="1677"/>
      <c r="W303" s="1677"/>
      <c r="X303" s="1677"/>
      <c r="Y303" s="1677"/>
      <c r="Z303" s="1677"/>
      <c r="AA303" s="1677"/>
      <c r="AB303" s="1677"/>
      <c r="AC303" s="1677"/>
      <c r="AD303" s="1677"/>
      <c r="AE303" s="1677"/>
      <c r="AF303" s="1677"/>
      <c r="AG303" s="1677"/>
    </row>
    <row customHeight="1" ht="11.25">
      <c r="A304" s="1003"/>
      <c r="B304" s="1677"/>
      <c r="D304" s="1677"/>
      <c r="J304" s="4122"/>
      <c r="K304" s="4122"/>
      <c r="L304" s="4122"/>
      <c r="M304" s="1677"/>
      <c r="P304" s="1677"/>
      <c r="Q304" s="1677"/>
      <c r="R304" s="1677"/>
      <c r="S304" s="1677"/>
      <c r="U304" s="1677"/>
      <c r="V304" s="1677"/>
      <c r="W304" s="1677"/>
      <c r="X304" s="1677"/>
      <c r="Y304" s="1677"/>
      <c r="Z304" s="1677"/>
      <c r="AA304" s="1677"/>
      <c r="AB304" s="1677"/>
      <c r="AC304" s="1677"/>
      <c r="AD304" s="1677"/>
      <c r="AE304" s="1677"/>
      <c r="AF304" s="1677"/>
      <c r="AG304" s="1677"/>
    </row>
    <row customHeight="1" ht="11.25">
      <c r="A305" s="1003"/>
      <c r="B305" s="1677"/>
      <c r="D305" s="1677"/>
      <c r="J305" s="4122"/>
      <c r="K305" s="4122"/>
      <c r="L305" s="4122"/>
      <c r="M305" s="1677"/>
      <c r="P305" s="1677"/>
      <c r="Q305" s="1677"/>
      <c r="R305" s="1677"/>
      <c r="S305" s="1677"/>
      <c r="U305" s="1677"/>
      <c r="V305" s="1677"/>
      <c r="W305" s="1677"/>
      <c r="X305" s="1677"/>
      <c r="Y305" s="1677"/>
      <c r="Z305" s="1677"/>
      <c r="AA305" s="1677"/>
      <c r="AB305" s="1677"/>
      <c r="AC305" s="1677"/>
      <c r="AD305" s="1677"/>
      <c r="AE305" s="1677"/>
      <c r="AF305" s="1677"/>
      <c r="AG305" s="1677"/>
    </row>
    <row customHeight="1" ht="11.25">
      <c r="A306" s="1003"/>
      <c r="B306" s="1677"/>
      <c r="D306" s="1677"/>
      <c r="J306" s="4122"/>
      <c r="K306" s="4122"/>
      <c r="L306" s="4122"/>
      <c r="M306" s="1677"/>
      <c r="P306" s="1677"/>
      <c r="Q306" s="1677"/>
      <c r="R306" s="1677"/>
      <c r="S306" s="1677"/>
      <c r="U306" s="1677"/>
      <c r="V306" s="1677"/>
      <c r="W306" s="1677"/>
      <c r="X306" s="1677"/>
      <c r="Y306" s="1677"/>
      <c r="Z306" s="1677"/>
      <c r="AA306" s="1677"/>
      <c r="AB306" s="1677"/>
      <c r="AC306" s="1677"/>
      <c r="AD306" s="1677"/>
      <c r="AE306" s="1677"/>
      <c r="AF306" s="1677"/>
      <c r="AG306" s="1677"/>
    </row>
  </sheetData>
  <sheetProtection formatColumns="0" formatRows="0" autoFilter="0" sort="0" insertRows="0" insertColumns="1" deleteRows="0" deleteColumns="0"/>
  <mergeCells count="17">
    <mergeCell ref="A124:A134"/>
    <mergeCell ref="E21:I21"/>
    <mergeCell ref="E22:I22"/>
    <mergeCell ref="A33:A40"/>
    <mergeCell ref="B34:B39"/>
    <mergeCell ref="A41:A43"/>
    <mergeCell ref="A67:A68"/>
    <mergeCell ref="A86:A94"/>
    <mergeCell ref="A95:A99"/>
    <mergeCell ref="A100:A102"/>
    <mergeCell ref="A103:A115"/>
    <mergeCell ref="A119:A123"/>
    <mergeCell ref="B2:B7"/>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K68 H66:K66 L66 L68"/>
    <dataValidation type="decimal" allowBlank="1" showErrorMessage="1" errorTitle="Ошибка" error="Введите значение от 0 до 100%" sqref="H94:K94 H99:K99 L94 L99">
      <formula1>0</formula1>
      <formula2>100</formula2>
    </dataValidation>
    <dataValidation type="decimal" allowBlank="1" showErrorMessage="1" errorTitle="Ошибка" error="Допускается ввод только действительных чисел!" sqref="H127:K127 H124:K124 H130:K130 H79:K84 L79 L80 L81 L82 L83 L84 L124 L127 L130">
      <formula1>-9.99999999999999E+37</formula1>
      <formula2>9.99999999999999E+37</formula2>
    </dataValidation>
    <dataValidation type="decimal" allowBlank="1" showErrorMessage="1" errorTitle="Ошибка" error="Допускается ввод только действительных чисел!" sqref="H76:K77 L76 L7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5:K85 H132:K134 L85 L132 L133 L134">
      <formula1>900</formula1>
    </dataValidation>
    <dataValidation type="list" allowBlank="1" showInputMessage="1" showErrorMessage="1" errorTitle="Ошибка" error="Выберите значение из списка" prompt="Выберите значение из списка" sqref="G97">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K67 H69:K69 H95:K98 H131:K131 H30:K30 H32:K33 H35:K38 H40:K65 H86:K90 H17:K17 H9:K13 H15:K15 H100:K123 H78:K78 H92:K93 H4:K6 L4 L5 L6 L9 L10 L11 L12 L13 L15 L17 L30 L32 L33 L35 L36 L37 L38 L40 L41 L42 L43 L44 L45 L46 L47 L48 L49 L50 L51 L52 L53 L54 L55 L56 L57 L58 L59 L60 L61 L62 L63 L64 L65 L67 L69 L78 L86 L87 L88 L89 L90 L92 L93 L95 L96 L97 L98 L100 L101 L102 L103 L104 L105 L106 L107 L108 L109 L110 L111 L112 L113 L114 L115 L116 L117 L118 L119 L120 L121 L122 L123 L131 H71:H74 I71:I74 J71:J74 K71:K74 L71:L74">
      <formula1>0</formula1>
      <formula2>9.99999999999999E+23</formula2>
    </dataValidation>
    <dataValidation type="textLength" operator="lessThanOrEqual" allowBlank="1" showInputMessage="1" showErrorMessage="1" errorTitle="Ошибка" error="Допускается ввод не более 900 символов!" sqref="G4 H34:K34 H39:K39 L34 L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K70 J70 I70 H70 L70">
      <formula1>900</formula1>
    </dataValidation>
    <dataValidation type="list" allowBlank="1" showInputMessage="1" showErrorMessage="1" errorTitle="Ошибка" error="Выберите значение из списка" prompt="Выберите значение из списка" sqref="H7:K7 L7">
      <formula1>kind_of_purchase_method</formula1>
    </dataValidation>
  </dataValidations>
  <hyperlinks>
    <hyperlink ref="I85" r:id="rId1" tooltip="https://portal.eias.ru/Portal/DownloadPage.aspx?type=12&amp;guid=f5113c99-0dd4-4a95-afa2-956b0178a9fc" xr:uid="{4BE568AB-C3E7-7687-DA84-19F8F37E84D8}"/>
    <hyperlink ref="J85" r:id="rId2" xr:uid="{30BB3E79-BC78-E749-C866-64E89550E01D}"/>
    <hyperlink ref="K85" r:id="rId3" tooltip="https://portal.eias.ru/Portal/DownloadPage.aspx?type=12&amp;guid=f5113c99-0dd4-4a95-afa2-956b0178a9fc" xr:uid="{52922E96-6833-9846-239A-7B8E37F8049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8842FF-4B99-5A59-C00F-088CBB22F362}" mc:Ignorable="x14ac xr xr2 xr3">
  <sheetPr>
    <tabColor theme="9" tint="-0.25"/>
  </sheetPr>
  <dimension ref="A1:CE46"/>
  <sheetViews>
    <sheetView topLeftCell="A1" showGridLines="0" zoomScale="90" workbookViewId="0">
      <selection activeCell="A32" sqref="A32:XFD40"/>
    </sheetView>
  </sheetViews>
  <sheetFormatPr defaultColWidth="9.140625" customHeight="1" defaultRowHeight="11.25"/>
  <cols>
    <col min="1" max="1" style="4467" width="14.7109375" hidden="1" customWidth="1"/>
    <col min="2" max="2" style="3088" width="17.00390625" hidden="1" customWidth="1"/>
    <col min="3" max="3" style="3090" width="3.7109375" customWidth="1"/>
    <col min="4" max="4" style="3090" width="1.8515625" hidden="1" customWidth="1"/>
    <col min="5" max="6" style="3090" width="7.7109375" customWidth="1"/>
    <col min="7" max="7" style="3090" width="29.7109375" customWidth="1"/>
    <col min="8" max="8" style="3090" width="3.7109375" customWidth="1"/>
    <col min="9" max="9" style="3090" width="5.421875" customWidth="1"/>
    <col min="10" max="10" style="3090" width="24.57421875" customWidth="1"/>
    <col min="11" max="11" style="3090" width="24.421875" customWidth="1"/>
    <col min="12" max="12" style="3090" width="3.7109375" customWidth="1"/>
    <col min="13" max="13" style="3090" width="6.28125" customWidth="1"/>
    <col min="14" max="14" style="3090" width="25.8515625" customWidth="1"/>
    <col min="15" max="18" style="3090" width="18.7109375" customWidth="1"/>
    <col min="19" max="19" style="3090" width="93.421875" customWidth="1"/>
    <col min="20" max="20" style="3090" width="10.57421875" customWidth="1"/>
    <col min="21" max="21" style="4469" width="10.57421875" customWidth="1"/>
    <col min="22" max="22" style="4469" width="11.7109375" customWidth="1"/>
    <col min="23" max="23" style="4470" width="10.57421875" customWidth="1"/>
    <col min="24" max="27" style="3088" width="10.57421875" customWidth="1"/>
    <col min="28" max="83" style="3090"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2"/>
      <c r="G5" s="2312"/>
      <c r="H5" s="2312"/>
      <c r="I5" s="2312"/>
      <c r="J5" s="2312"/>
      <c r="K5" s="2312"/>
      <c r="L5" s="621"/>
      <c r="M5" s="621"/>
    </row>
    <row s="2599" customFormat="1" customHeight="1" ht="16.5">
      <c r="A6" s="618"/>
      <c r="B6" s="769"/>
      <c r="C6" s="517"/>
      <c r="D6" s="1071"/>
      <c r="E6" s="2049" t="str">
        <f>IF(org=0,"Не определено",org)</f>
        <v>МУП "Уссурийск-Водоканал"</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6"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293</v>
      </c>
      <c r="F9" s="1941"/>
      <c r="G9" s="1941"/>
      <c r="H9" s="1941"/>
      <c r="I9" s="1941"/>
      <c r="J9" s="1941"/>
      <c r="K9" s="1941"/>
      <c r="L9" s="1941"/>
      <c r="M9" s="1941"/>
      <c r="N9" s="1941"/>
      <c r="O9" s="1941"/>
      <c r="P9" s="1941"/>
      <c r="Q9" s="1941"/>
      <c r="R9" s="1942"/>
      <c r="S9" s="1966" t="s">
        <v>294</v>
      </c>
      <c r="T9" s="330"/>
    </row>
    <row customHeight="1" ht="33.75">
      <c r="D10" s="559" t="s">
        <v>88</v>
      </c>
      <c r="E10" s="1966" t="s">
        <v>88</v>
      </c>
      <c r="F10" s="1966"/>
      <c r="G10" s="529" t="s">
        <v>295</v>
      </c>
      <c r="H10" s="1966" t="s">
        <v>88</v>
      </c>
      <c r="I10" s="1966"/>
      <c r="J10" s="529" t="s">
        <v>1754</v>
      </c>
      <c r="K10" s="529" t="s">
        <v>1755</v>
      </c>
      <c r="L10" s="1966" t="s">
        <v>88</v>
      </c>
      <c r="M10" s="1966"/>
      <c r="N10" s="529" t="s">
        <v>1756</v>
      </c>
      <c r="O10" s="529" t="s">
        <v>1757</v>
      </c>
      <c r="P10" s="529" t="s">
        <v>1758</v>
      </c>
      <c r="Q10" s="529" t="s">
        <v>1759</v>
      </c>
      <c r="R10" s="529" t="s">
        <v>1760</v>
      </c>
      <c r="S10" s="1966"/>
      <c r="T10" s="330"/>
    </row>
    <row s="2587" customFormat="1" customHeight="1" ht="15" hidden="1">
      <c r="A11" s="1065"/>
      <c r="D11" s="1038" t="s">
        <v>109</v>
      </c>
      <c r="E11" s="1038"/>
      <c r="F11" s="1038" t="s">
        <v>110</v>
      </c>
      <c r="G11" s="1038" t="s">
        <v>90</v>
      </c>
      <c r="H11" s="1038"/>
      <c r="I11" s="1038" t="s">
        <v>91</v>
      </c>
      <c r="J11" s="1038" t="s">
        <v>111</v>
      </c>
      <c r="K11" s="1038" t="s">
        <v>92</v>
      </c>
      <c r="L11" s="1038"/>
      <c r="M11" s="1038" t="s">
        <v>93</v>
      </c>
      <c r="N11" s="1038" t="s">
        <v>112</v>
      </c>
      <c r="O11" s="1038" t="s">
        <v>155</v>
      </c>
      <c r="P11" s="1038" t="s">
        <v>156</v>
      </c>
      <c r="Q11" s="1038" t="s">
        <v>157</v>
      </c>
      <c r="R11" s="1038" t="s">
        <v>158</v>
      </c>
      <c r="S11" s="1038" t="s">
        <v>159</v>
      </c>
      <c r="U11" s="619"/>
      <c r="V11" s="619"/>
      <c r="W11" s="619"/>
    </row>
    <row s="2603" customFormat="1" customHeight="1" ht="0.75">
      <c r="A12" s="623"/>
      <c r="B12" s="360"/>
      <c r="D12" s="556"/>
      <c r="E12" s="342"/>
      <c r="F12" s="342"/>
      <c r="Q12" s="624"/>
      <c r="R12" s="625"/>
      <c r="T12" s="626"/>
      <c r="U12" s="627"/>
      <c r="V12" s="627"/>
      <c r="W12" s="628"/>
      <c r="X12" s="360"/>
      <c r="Y12" s="360"/>
      <c r="Z12" s="360"/>
      <c r="AA12" s="360"/>
    </row>
    <row s="2586" customFormat="1" customHeight="1" ht="0.75">
      <c r="A13" s="629"/>
      <c r="B13" s="574"/>
      <c r="D13" s="556" t="s">
        <v>371</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2" customFormat="1" customHeight="1" ht="15" hidden="1">
      <c r="A14" s="631" t="s">
        <v>118</v>
      </c>
      <c r="B14" s="632"/>
      <c r="C14" s="632"/>
      <c r="D14" s="2340" t="s">
        <v>109</v>
      </c>
      <c r="E14" s="2142" t="s">
        <v>105</v>
      </c>
      <c r="F14" s="2143"/>
      <c r="G14" s="2144"/>
      <c r="H14" s="2145" t="str">
        <f>IF(A14="","",INDEX(DIFFERENTIATION_UNMERGE_VD,MATCH(A14,DIFFERENTIATION_ID_DIFF,0)))</f>
        <v>Водоотведение</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18</v>
      </c>
      <c r="AF14" s="638"/>
      <c r="AG14" s="639" t="s">
        <v>417</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2" customFormat="1" customHeight="1" ht="15" hidden="1">
      <c r="A15" s="631"/>
      <c r="B15" s="632"/>
      <c r="C15" s="632"/>
      <c r="D15" s="2341"/>
      <c r="E15" s="2142" t="s">
        <v>418</v>
      </c>
      <c r="F15" s="2143"/>
      <c r="G15" s="2144"/>
      <c r="H15" s="2145" t="str">
        <f>IF(A14="","",INDEX(DIFFERENTIATION_UNMERGE_AREA,MATCH(A14,DIFFERENTIATION_ID_DIFF,0)))</f>
        <v>без дифференциации</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2" customFormat="1" customHeight="1" ht="15" hidden="1">
      <c r="A16" s="631"/>
      <c r="B16" s="632"/>
      <c r="C16" s="632"/>
      <c r="D16" s="2341"/>
      <c r="E16" s="2142" t="s">
        <v>419</v>
      </c>
      <c r="F16" s="2143"/>
      <c r="G16" s="2144"/>
      <c r="H16" s="2145" t="str">
        <f>IF(A14="","",INDEX(DIFFERENTIATION_UNMERGE_SYSTEM,MATCH(A14,DIFFERENTIATION_ID_DIFF,0)))</f>
        <v>Уссурийский  городской  округ</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2" customFormat="1" customHeight="1" ht="22.5" hidden="1">
      <c r="A17" s="641"/>
      <c r="B17" s="424"/>
      <c r="C17" s="419"/>
      <c r="D17" s="2341"/>
      <c r="E17" s="2155" t="s">
        <v>420</v>
      </c>
      <c r="F17" s="2155"/>
      <c r="G17" s="2155"/>
      <c r="H17" s="2155"/>
      <c r="I17" s="2155"/>
      <c r="J17" s="2155"/>
      <c r="K17" s="2155"/>
      <c r="L17" s="2155"/>
      <c r="M17" s="2155"/>
      <c r="N17" s="2155"/>
      <c r="O17" s="2155"/>
      <c r="P17" s="2155"/>
      <c r="Q17" s="566">
        <f>SUMIF(T18:T19,"i",Q18:Q19)</f>
        <v>0</v>
      </c>
      <c r="R17" s="1030"/>
      <c r="S17" s="909" t="s">
        <v>421</v>
      </c>
      <c r="T17" s="725" t="s">
        <v>422</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2"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2" customFormat="1" customHeight="1" ht="11.25" hidden="1">
      <c r="A19" s="641"/>
      <c r="B19" s="424"/>
      <c r="C19" s="419"/>
      <c r="D19" s="2341"/>
      <c r="E19" s="657" t="s">
        <v>18</v>
      </c>
      <c r="F19" s="658" t="s">
        <v>18</v>
      </c>
      <c r="G19" s="658" t="s">
        <v>18</v>
      </c>
      <c r="H19" s="659" t="s">
        <v>18</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2" customFormat="1" customHeight="1" ht="22.5" hidden="1">
      <c r="A20" s="641"/>
      <c r="B20" s="424"/>
      <c r="C20" s="419"/>
      <c r="D20" s="2341"/>
      <c r="E20" s="2155" t="s">
        <v>425</v>
      </c>
      <c r="F20" s="2155"/>
      <c r="G20" s="2155"/>
      <c r="H20" s="2155"/>
      <c r="I20" s="2155"/>
      <c r="J20" s="2155"/>
      <c r="K20" s="2155"/>
      <c r="L20" s="2155"/>
      <c r="M20" s="2155"/>
      <c r="N20" s="2155"/>
      <c r="O20" s="2155"/>
      <c r="P20" s="2155"/>
      <c r="Q20" s="566">
        <f>SUMIF(T21:T22,"i",Q21:Q22)</f>
        <v>0</v>
      </c>
      <c r="R20" s="1030"/>
      <c r="S20" s="717" t="s">
        <v>426</v>
      </c>
      <c r="T20" s="725" t="s">
        <v>422</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2"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2" customFormat="1" customHeight="1" ht="11.25" hidden="1">
      <c r="A22" s="641"/>
      <c r="B22" s="424"/>
      <c r="C22" s="419"/>
      <c r="D22" s="2342"/>
      <c r="E22" s="657" t="s">
        <v>18</v>
      </c>
      <c r="F22" s="658" t="s">
        <v>18</v>
      </c>
      <c r="G22" s="658" t="s">
        <v>18</v>
      </c>
      <c r="H22" s="659" t="s">
        <v>18</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5" hidden="1">
      <c r="A23" s="631" t="s">
        <v>123</v>
      </c>
      <c r="B23" s="632"/>
      <c r="C23" s="632" t="s">
        <v>18</v>
      </c>
      <c r="D23" s="2157" t="s">
        <v>157</v>
      </c>
      <c r="E23" s="2142" t="s">
        <v>105</v>
      </c>
      <c r="F23" s="2143"/>
      <c r="G23" s="2144"/>
      <c r="H23" s="2145" t="str">
        <f>IF(A23="","",INDEX(DIFFERENTIATION_UNMERGE_VD,MATCH(A23,DIFFERENTIATION_ID_DIFF,0)))</f>
        <v>Водоотведение</v>
      </c>
      <c r="I23" s="2145"/>
      <c r="J23" s="2145"/>
      <c r="K23" s="2145"/>
      <c r="L23" s="2145"/>
      <c r="M23" s="2145"/>
      <c r="N23" s="2145"/>
      <c r="O23" s="2145"/>
      <c r="P23" s="2145"/>
      <c r="Q23" s="2145"/>
      <c r="R23" s="2145"/>
      <c r="S23" s="727"/>
      <c r="T23" s="724"/>
      <c r="U23" s="633"/>
      <c r="V23" s="633"/>
      <c r="W23" s="634"/>
      <c r="X23" s="634"/>
      <c r="Y23" s="634"/>
      <c r="Z23" s="634"/>
      <c r="AA23" s="635"/>
      <c r="AB23" s="636"/>
      <c r="AC23" s="2141"/>
      <c r="AD23" s="637"/>
      <c r="AE23" s="638" t="s">
        <v>18</v>
      </c>
      <c r="AF23" s="638"/>
      <c r="AG23" s="639" t="s">
        <v>417</v>
      </c>
      <c r="AH23" s="640">
        <v>3</v>
      </c>
      <c r="AI23" s="633"/>
      <c r="AJ23" s="633"/>
      <c r="AK23" s="633"/>
      <c r="AL23" s="633"/>
      <c r="AM23" s="633"/>
      <c r="AN23" s="633"/>
      <c r="AO23" s="633"/>
      <c r="AP23" s="633"/>
      <c r="AQ23" s="633"/>
      <c r="AR23" s="633"/>
      <c r="AS23" s="633"/>
      <c r="AT23" s="633"/>
      <c r="AU23" s="633"/>
      <c r="AV23" s="633"/>
      <c r="AW23" s="633"/>
      <c r="AX23" s="633"/>
      <c r="AY23" s="633"/>
      <c r="AZ23" s="633"/>
      <c r="BA23" s="633"/>
      <c r="BB23" s="633"/>
      <c r="BC23" s="633"/>
      <c r="BD23" s="633"/>
      <c r="BE23" s="633"/>
      <c r="BF23" s="633"/>
      <c r="BG23" s="633"/>
      <c r="BH23" s="633"/>
      <c r="BI23" s="633"/>
      <c r="BJ23" s="633"/>
      <c r="BK23" s="633"/>
      <c r="BL23" s="633"/>
      <c r="BM23" s="633"/>
      <c r="BN23" s="633"/>
      <c r="BO23" s="633"/>
      <c r="BP23" s="633"/>
      <c r="BQ23" s="633"/>
      <c r="BR23" s="633"/>
      <c r="BS23" s="633"/>
      <c r="BT23" s="633"/>
      <c r="BU23" s="633"/>
      <c r="BV23" s="634"/>
      <c r="BW23" s="634"/>
      <c r="BX23" s="634"/>
      <c r="BY23" s="634"/>
      <c r="BZ23" s="634"/>
      <c r="CA23" s="634"/>
      <c r="CB23" s="634"/>
      <c r="CC23" s="634"/>
      <c r="CD23" s="634"/>
      <c r="CE23" s="634"/>
    </row>
    <row customHeight="1" ht="15" hidden="1">
      <c r="A24" s="631"/>
      <c r="B24" s="632"/>
      <c r="C24" s="632"/>
      <c r="D24" s="2158"/>
      <c r="E24" s="2142" t="s">
        <v>418</v>
      </c>
      <c r="F24" s="2143"/>
      <c r="G24" s="2144"/>
      <c r="H24" s="2145" t="str">
        <f>IF(A23="","",INDEX(DIFFERENTIATION_UNMERGE_AREA,MATCH(A23,DIFFERENTIATION_ID_DIFF,0)))</f>
        <v>без дифференциации</v>
      </c>
      <c r="I24" s="2145"/>
      <c r="J24" s="2145"/>
      <c r="K24" s="2145"/>
      <c r="L24" s="2145"/>
      <c r="M24" s="2145"/>
      <c r="N24" s="2145"/>
      <c r="O24" s="2145"/>
      <c r="P24" s="2145"/>
      <c r="Q24" s="2145"/>
      <c r="R24" s="2145"/>
      <c r="S24" s="727"/>
      <c r="T24" s="724"/>
      <c r="U24" s="633"/>
      <c r="V24" s="633"/>
      <c r="W24" s="634"/>
      <c r="X24" s="634"/>
      <c r="Y24" s="634"/>
      <c r="Z24" s="634"/>
      <c r="AA24" s="635"/>
      <c r="AB24" s="636"/>
      <c r="AC24" s="2141"/>
      <c r="AD24" s="637"/>
      <c r="AE24" s="638"/>
      <c r="AF24" s="638"/>
      <c r="AG24" s="639"/>
      <c r="AH24" s="640"/>
      <c r="AI24" s="633"/>
      <c r="AJ24" s="633"/>
      <c r="AK24" s="633"/>
      <c r="AL24" s="633"/>
      <c r="AM24" s="633"/>
      <c r="AN24" s="633"/>
      <c r="AO24" s="633"/>
      <c r="AP24" s="633"/>
      <c r="AQ24" s="633"/>
      <c r="AR24" s="633"/>
      <c r="AS24" s="633"/>
      <c r="AT24" s="633"/>
      <c r="AU24" s="633"/>
      <c r="AV24" s="633"/>
      <c r="AW24" s="633"/>
      <c r="AX24" s="633"/>
      <c r="AY24" s="633"/>
      <c r="AZ24" s="633"/>
      <c r="BA24" s="633"/>
      <c r="BB24" s="633"/>
      <c r="BC24" s="633"/>
      <c r="BD24" s="633"/>
      <c r="BE24" s="633"/>
      <c r="BF24" s="633"/>
      <c r="BG24" s="633"/>
      <c r="BH24" s="633"/>
      <c r="BI24" s="633"/>
      <c r="BJ24" s="633"/>
      <c r="BK24" s="633"/>
      <c r="BL24" s="633"/>
      <c r="BM24" s="633"/>
      <c r="BN24" s="633"/>
      <c r="BO24" s="633"/>
      <c r="BP24" s="633"/>
      <c r="BQ24" s="633"/>
      <c r="BR24" s="633"/>
      <c r="BS24" s="633"/>
      <c r="BT24" s="633"/>
      <c r="BU24" s="633"/>
      <c r="BV24" s="634"/>
      <c r="BW24" s="634"/>
      <c r="BX24" s="634"/>
      <c r="BY24" s="634"/>
      <c r="BZ24" s="634"/>
      <c r="CA24" s="634"/>
      <c r="CB24" s="634"/>
      <c r="CC24" s="634"/>
      <c r="CD24" s="634"/>
      <c r="CE24" s="634"/>
    </row>
    <row customHeight="1" ht="15" hidden="1">
      <c r="A25" s="631"/>
      <c r="B25" s="632"/>
      <c r="C25" s="632"/>
      <c r="D25" s="2158"/>
      <c r="E25" s="2142" t="s">
        <v>419</v>
      </c>
      <c r="F25" s="2143"/>
      <c r="G25" s="2144"/>
      <c r="H25" s="2145" t="str">
        <f>IF(A23="","",INDEX(DIFFERENTIATION_UNMERGE_SYSTEM,MATCH(A23,DIFFERENTIATION_ID_DIFF,0)))</f>
        <v>ООО " Промышленный  парк  Уссурийский " и  ООО                   "АльянсГрупп"</v>
      </c>
      <c r="I25" s="2145"/>
      <c r="J25" s="2145"/>
      <c r="K25" s="2145"/>
      <c r="L25" s="2145"/>
      <c r="M25" s="2145"/>
      <c r="N25" s="2145"/>
      <c r="O25" s="2145"/>
      <c r="P25" s="2145"/>
      <c r="Q25" s="2145"/>
      <c r="R25" s="2145"/>
      <c r="S25" s="727"/>
      <c r="T25" s="724"/>
      <c r="U25" s="633"/>
      <c r="V25" s="633"/>
      <c r="W25" s="634"/>
      <c r="X25" s="634"/>
      <c r="Y25" s="634"/>
      <c r="Z25" s="634"/>
      <c r="AA25" s="635"/>
      <c r="AB25" s="636"/>
      <c r="AC25" s="2141"/>
      <c r="AD25" s="637"/>
      <c r="AE25" s="638"/>
      <c r="AF25" s="638"/>
      <c r="AG25" s="639"/>
      <c r="AH25" s="640"/>
      <c r="AI25" s="633"/>
      <c r="AJ25" s="633"/>
      <c r="AK25" s="633"/>
      <c r="AL25" s="633"/>
      <c r="AM25" s="633"/>
      <c r="AN25" s="633"/>
      <c r="AO25" s="633"/>
      <c r="AP25" s="633"/>
      <c r="AQ25" s="633"/>
      <c r="AR25" s="633"/>
      <c r="AS25" s="633"/>
      <c r="AT25" s="633"/>
      <c r="AU25" s="633"/>
      <c r="AV25" s="633"/>
      <c r="AW25" s="633"/>
      <c r="AX25" s="633"/>
      <c r="AY25" s="633"/>
      <c r="AZ25" s="633"/>
      <c r="BA25" s="633"/>
      <c r="BB25" s="633"/>
      <c r="BC25" s="633"/>
      <c r="BD25" s="633"/>
      <c r="BE25" s="633"/>
      <c r="BF25" s="633"/>
      <c r="BG25" s="633"/>
      <c r="BH25" s="633"/>
      <c r="BI25" s="633"/>
      <c r="BJ25" s="633"/>
      <c r="BK25" s="633"/>
      <c r="BL25" s="633"/>
      <c r="BM25" s="633"/>
      <c r="BN25" s="633"/>
      <c r="BO25" s="633"/>
      <c r="BP25" s="633"/>
      <c r="BQ25" s="633"/>
      <c r="BR25" s="633"/>
      <c r="BS25" s="633"/>
      <c r="BT25" s="633"/>
      <c r="BU25" s="633"/>
      <c r="BV25" s="634"/>
      <c r="BW25" s="634"/>
      <c r="BX25" s="634"/>
      <c r="BY25" s="634"/>
      <c r="BZ25" s="634"/>
      <c r="CA25" s="634"/>
      <c r="CB25" s="634"/>
      <c r="CC25" s="634"/>
      <c r="CD25" s="634"/>
      <c r="CE25" s="634"/>
    </row>
    <row customHeight="1" ht="24.75" hidden="1">
      <c r="A26" s="1857"/>
      <c r="B26" s="1174"/>
      <c r="C26" s="419"/>
      <c r="D26" s="2158"/>
      <c r="E26" s="2155" t="s">
        <v>420</v>
      </c>
      <c r="F26" s="2155"/>
      <c r="G26" s="2155"/>
      <c r="H26" s="2155"/>
      <c r="I26" s="2155"/>
      <c r="J26" s="2155"/>
      <c r="K26" s="2155"/>
      <c r="L26" s="2155"/>
      <c r="M26" s="2155"/>
      <c r="N26" s="2155"/>
      <c r="O26" s="2155"/>
      <c r="P26" s="2155"/>
      <c r="Q26" s="566">
        <f>SUMIF(T27:T28,"i",Q27:Q28)</f>
        <v>0</v>
      </c>
      <c r="R26" s="1030"/>
      <c r="S26" s="1849" t="s">
        <v>421</v>
      </c>
      <c r="T26" s="725" t="s">
        <v>422</v>
      </c>
      <c r="U26" s="2156">
        <v>1</v>
      </c>
      <c r="V26" s="2156" t="s">
        <v>423</v>
      </c>
      <c r="W26" s="1174"/>
      <c r="X26" s="1174"/>
      <c r="Y26" s="1174"/>
      <c r="Z26" s="1174"/>
      <c r="AA26" s="1682"/>
      <c r="AB26" s="1174"/>
      <c r="AC26" s="2141"/>
      <c r="AD26" s="637"/>
      <c r="AE26" s="1174"/>
      <c r="AF26" s="1174"/>
      <c r="AG26" s="1682"/>
      <c r="AH26" s="1682"/>
      <c r="AI26" s="1682"/>
      <c r="AJ26" s="1682"/>
      <c r="AK26" s="1682"/>
      <c r="AL26" s="1682"/>
      <c r="AM26" s="1682"/>
      <c r="AN26" s="1682"/>
      <c r="AO26" s="1682"/>
      <c r="AP26" s="1682"/>
      <c r="AQ26" s="1682"/>
      <c r="AR26" s="1682"/>
      <c r="AS26" s="1682"/>
      <c r="AT26" s="1682"/>
      <c r="AU26" s="1682"/>
      <c r="AV26" s="1682"/>
      <c r="AW26" s="1682"/>
      <c r="AX26" s="1682"/>
      <c r="AY26" s="1682"/>
      <c r="AZ26" s="1682"/>
      <c r="BA26" s="1682"/>
      <c r="BB26" s="1682"/>
      <c r="BC26" s="1682"/>
      <c r="BD26" s="1682"/>
      <c r="BE26" s="1682"/>
      <c r="BF26" s="1682"/>
      <c r="BG26" s="1682"/>
      <c r="BH26" s="1682"/>
      <c r="BI26" s="1682"/>
      <c r="BJ26" s="1682"/>
      <c r="BK26" s="1682"/>
      <c r="BL26" s="1682"/>
      <c r="BM26" s="1682"/>
      <c r="BN26" s="1682"/>
      <c r="BO26" s="1682"/>
      <c r="BP26" s="1682"/>
      <c r="BQ26" s="1682"/>
      <c r="BR26" s="1682"/>
      <c r="BS26" s="1682"/>
      <c r="BT26" s="1682"/>
      <c r="BU26" s="1682"/>
      <c r="BV26" s="1174"/>
      <c r="BW26" s="1174"/>
      <c r="BX26" s="1174"/>
      <c r="BY26" s="1174"/>
      <c r="BZ26" s="1174"/>
      <c r="CA26" s="1174"/>
      <c r="CB26" s="1174"/>
      <c r="CC26" s="1174"/>
      <c r="CD26" s="1174"/>
      <c r="CE26" s="1174"/>
    </row>
    <row customHeight="1" ht="11.25" hidden="1">
      <c r="A27" s="1844"/>
      <c r="B27" s="1682"/>
      <c r="C27" s="1682"/>
      <c r="D27" s="2158"/>
      <c r="E27" s="643"/>
      <c r="F27" s="643">
        <v>0</v>
      </c>
      <c r="G27" s="643"/>
      <c r="H27" s="643"/>
      <c r="I27" s="643"/>
      <c r="J27" s="643"/>
      <c r="K27" s="643"/>
      <c r="L27" s="643"/>
      <c r="M27" s="643"/>
      <c r="N27" s="643"/>
      <c r="O27" s="643"/>
      <c r="P27" s="643"/>
      <c r="Q27" s="643"/>
      <c r="R27" s="643"/>
      <c r="S27" s="644"/>
      <c r="T27" s="726"/>
      <c r="U27" s="2156"/>
      <c r="V27" s="2156"/>
      <c r="W27" s="1682"/>
      <c r="X27" s="1682"/>
      <c r="Y27" s="1682"/>
      <c r="Z27" s="1682"/>
      <c r="AA27" s="1682"/>
      <c r="AB27" s="1174"/>
      <c r="AC27" s="2141"/>
      <c r="AD27" s="637"/>
      <c r="AE27" s="1174"/>
      <c r="AF27" s="1174"/>
      <c r="AG27" s="1682"/>
      <c r="AH27" s="1682"/>
      <c r="AI27" s="1682"/>
      <c r="AJ27" s="1682"/>
      <c r="AK27" s="1682"/>
      <c r="AL27" s="1682"/>
      <c r="AM27" s="1682"/>
      <c r="AN27" s="1682"/>
      <c r="AO27" s="1682"/>
      <c r="AP27" s="1682"/>
      <c r="AQ27" s="1682"/>
      <c r="AR27" s="1682"/>
      <c r="AS27" s="1682"/>
      <c r="AT27" s="1682"/>
      <c r="AU27" s="1682"/>
      <c r="AV27" s="1682"/>
      <c r="AW27" s="1682"/>
      <c r="AX27" s="1682"/>
      <c r="AY27" s="1682"/>
      <c r="AZ27" s="1682"/>
      <c r="BA27" s="1682"/>
      <c r="BB27" s="1682"/>
      <c r="BC27" s="1682"/>
      <c r="BD27" s="1682"/>
      <c r="BE27" s="1682"/>
      <c r="BF27" s="1682"/>
      <c r="BG27" s="1682"/>
      <c r="BH27" s="1682"/>
      <c r="BI27" s="1682"/>
      <c r="BJ27" s="1682"/>
      <c r="BK27" s="1682"/>
      <c r="BL27" s="1682"/>
      <c r="BM27" s="1682"/>
      <c r="BN27" s="1682"/>
      <c r="BO27" s="1682"/>
      <c r="BP27" s="1682"/>
      <c r="BQ27" s="1682"/>
      <c r="BR27" s="1682"/>
      <c r="BS27" s="1682"/>
      <c r="BT27" s="1682"/>
      <c r="BU27" s="1682"/>
      <c r="BV27" s="1682"/>
      <c r="BW27" s="1682"/>
      <c r="BX27" s="1682"/>
      <c r="BY27" s="1682"/>
      <c r="BZ27" s="1682"/>
      <c r="CA27" s="1682"/>
      <c r="CB27" s="1682"/>
      <c r="CC27" s="1682"/>
      <c r="CD27" s="1682"/>
      <c r="CE27" s="1682"/>
    </row>
    <row customHeight="1" ht="11.25" hidden="1">
      <c r="A28" s="1857"/>
      <c r="B28" s="1174"/>
      <c r="C28" s="419"/>
      <c r="D28" s="2158"/>
      <c r="E28" s="657" t="s">
        <v>18</v>
      </c>
      <c r="F28" s="1182" t="s">
        <v>18</v>
      </c>
      <c r="G28" s="1182" t="s">
        <v>424</v>
      </c>
      <c r="H28" s="659" t="s">
        <v>18</v>
      </c>
      <c r="I28" s="659"/>
      <c r="J28" s="659"/>
      <c r="K28" s="659"/>
      <c r="L28" s="659"/>
      <c r="M28" s="659"/>
      <c r="N28" s="659"/>
      <c r="O28" s="659"/>
      <c r="P28" s="659"/>
      <c r="Q28" s="659"/>
      <c r="R28" s="660"/>
      <c r="S28" s="661"/>
      <c r="T28" s="726"/>
      <c r="U28" s="2156"/>
      <c r="V28" s="2156"/>
      <c r="W28" s="1174"/>
      <c r="X28" s="1174"/>
      <c r="Y28" s="1174"/>
      <c r="Z28" s="1174"/>
      <c r="AA28" s="1682"/>
      <c r="AB28" s="1174"/>
      <c r="AC28" s="2141"/>
      <c r="AD28" s="637"/>
      <c r="AE28" s="1174"/>
      <c r="AF28" s="1174"/>
      <c r="AG28" s="1682"/>
      <c r="AH28" s="1682"/>
      <c r="AI28" s="1682"/>
      <c r="AJ28" s="1682"/>
      <c r="AK28" s="1682"/>
      <c r="AL28" s="1682"/>
      <c r="AM28" s="1682"/>
      <c r="AN28" s="1682"/>
      <c r="AO28" s="1682"/>
      <c r="AP28" s="1682"/>
      <c r="AQ28" s="1682"/>
      <c r="AR28" s="1682"/>
      <c r="AS28" s="1682"/>
      <c r="AT28" s="1682"/>
      <c r="AU28" s="1682"/>
      <c r="AV28" s="1682"/>
      <c r="AW28" s="1682"/>
      <c r="AX28" s="1682"/>
      <c r="AY28" s="1682"/>
      <c r="AZ28" s="1682"/>
      <c r="BA28" s="1682"/>
      <c r="BB28" s="1682"/>
      <c r="BC28" s="1682"/>
      <c r="BD28" s="1682"/>
      <c r="BE28" s="1682"/>
      <c r="BF28" s="1682"/>
      <c r="BG28" s="1682"/>
      <c r="BH28" s="1682"/>
      <c r="BI28" s="1682"/>
      <c r="BJ28" s="1682"/>
      <c r="BK28" s="1682"/>
      <c r="BL28" s="1682"/>
      <c r="BM28" s="1682"/>
      <c r="BN28" s="1682"/>
      <c r="BO28" s="1682"/>
      <c r="BP28" s="1682"/>
      <c r="BQ28" s="1682"/>
      <c r="BR28" s="1682"/>
      <c r="BS28" s="1682"/>
      <c r="BT28" s="1682"/>
      <c r="BU28" s="1682"/>
      <c r="BV28" s="1174"/>
      <c r="BW28" s="1174"/>
      <c r="BX28" s="1174"/>
      <c r="BY28" s="1174"/>
      <c r="BZ28" s="1174"/>
      <c r="CA28" s="1174"/>
      <c r="CB28" s="1174"/>
      <c r="CC28" s="1174"/>
      <c r="CD28" s="1174"/>
      <c r="CE28" s="1174"/>
    </row>
    <row customHeight="1" ht="24.75" hidden="1">
      <c r="A29" s="1857"/>
      <c r="B29" s="1174"/>
      <c r="C29" s="419"/>
      <c r="D29" s="2158"/>
      <c r="E29" s="2155" t="s">
        <v>425</v>
      </c>
      <c r="F29" s="2155"/>
      <c r="G29" s="2155"/>
      <c r="H29" s="2155"/>
      <c r="I29" s="2155"/>
      <c r="J29" s="2155"/>
      <c r="K29" s="2155"/>
      <c r="L29" s="2155"/>
      <c r="M29" s="2155"/>
      <c r="N29" s="2155"/>
      <c r="O29" s="2155"/>
      <c r="P29" s="2155"/>
      <c r="Q29" s="566">
        <f>SUMIF(T30:T31,"i",Q30:Q31)</f>
        <v>0</v>
      </c>
      <c r="R29" s="1030"/>
      <c r="S29" s="1849" t="s">
        <v>426</v>
      </c>
      <c r="T29" s="725" t="s">
        <v>422</v>
      </c>
      <c r="U29" s="2156">
        <v>1</v>
      </c>
      <c r="V29" s="2156" t="s">
        <v>423</v>
      </c>
      <c r="W29" s="1174"/>
      <c r="X29" s="1174"/>
      <c r="Y29" s="1174"/>
      <c r="Z29" s="1174"/>
      <c r="AA29" s="1682"/>
      <c r="AB29" s="1174"/>
      <c r="AC29" s="1847"/>
      <c r="AD29" s="637"/>
      <c r="AE29" s="1174"/>
      <c r="AF29" s="1174"/>
      <c r="AG29" s="1682"/>
      <c r="AH29" s="1682"/>
      <c r="AI29" s="1682"/>
      <c r="AJ29" s="1682"/>
      <c r="AK29" s="1682"/>
      <c r="AL29" s="1682"/>
      <c r="AM29" s="1682"/>
      <c r="AN29" s="1682"/>
      <c r="AO29" s="1682"/>
      <c r="AP29" s="1682"/>
      <c r="AQ29" s="1682"/>
      <c r="AR29" s="1682"/>
      <c r="AS29" s="1682"/>
      <c r="AT29" s="1682"/>
      <c r="AU29" s="1682"/>
      <c r="AV29" s="1682"/>
      <c r="AW29" s="1682"/>
      <c r="AX29" s="1682"/>
      <c r="AY29" s="1682"/>
      <c r="AZ29" s="1682"/>
      <c r="BA29" s="1682"/>
      <c r="BB29" s="1682"/>
      <c r="BC29" s="1682"/>
      <c r="BD29" s="1682"/>
      <c r="BE29" s="1682"/>
      <c r="BF29" s="1682"/>
      <c r="BG29" s="1682"/>
      <c r="BH29" s="1682"/>
      <c r="BI29" s="1682"/>
      <c r="BJ29" s="1682"/>
      <c r="BK29" s="1682"/>
      <c r="BL29" s="1682"/>
      <c r="BM29" s="1682"/>
      <c r="BN29" s="1682"/>
      <c r="BO29" s="1682"/>
      <c r="BP29" s="1682"/>
      <c r="BQ29" s="1682"/>
      <c r="BR29" s="1682"/>
      <c r="BS29" s="1682"/>
      <c r="BT29" s="1682"/>
      <c r="BU29" s="1682"/>
      <c r="BV29" s="1174"/>
      <c r="BW29" s="1174"/>
      <c r="BX29" s="1174"/>
      <c r="BY29" s="1174"/>
      <c r="BZ29" s="1174"/>
      <c r="CA29" s="1174"/>
      <c r="CB29" s="1174"/>
      <c r="CC29" s="1174"/>
      <c r="CD29" s="1174"/>
      <c r="CE29" s="1174"/>
    </row>
    <row customHeight="1" ht="11.25" hidden="1">
      <c r="A30" s="1844"/>
      <c r="B30" s="1682"/>
      <c r="C30" s="1682"/>
      <c r="D30" s="2158"/>
      <c r="E30" s="643"/>
      <c r="F30" s="643">
        <v>0</v>
      </c>
      <c r="G30" s="643"/>
      <c r="H30" s="643"/>
      <c r="I30" s="643"/>
      <c r="J30" s="643"/>
      <c r="K30" s="643"/>
      <c r="L30" s="643"/>
      <c r="M30" s="643"/>
      <c r="N30" s="643"/>
      <c r="O30" s="643"/>
      <c r="P30" s="643"/>
      <c r="Q30" s="643"/>
      <c r="R30" s="643"/>
      <c r="S30" s="644"/>
      <c r="T30" s="726"/>
      <c r="U30" s="2156"/>
      <c r="V30" s="2156"/>
      <c r="W30" s="1682"/>
      <c r="X30" s="1682"/>
      <c r="Y30" s="1682"/>
      <c r="Z30" s="1682"/>
      <c r="AA30" s="1682"/>
      <c r="AB30" s="1174"/>
      <c r="AC30" s="1847"/>
      <c r="AD30" s="637"/>
      <c r="AE30" s="1174"/>
      <c r="AF30" s="1174"/>
      <c r="AG30" s="1682"/>
      <c r="AH30" s="1682"/>
      <c r="AI30" s="1682"/>
      <c r="AJ30" s="1682"/>
      <c r="AK30" s="1682"/>
      <c r="AL30" s="1682"/>
      <c r="AM30" s="1682"/>
      <c r="AN30" s="1682"/>
      <c r="AO30" s="1682"/>
      <c r="AP30" s="1682"/>
      <c r="AQ30" s="1682"/>
      <c r="AR30" s="1682"/>
      <c r="AS30" s="1682"/>
      <c r="AT30" s="1682"/>
      <c r="AU30" s="1682"/>
      <c r="AV30" s="1682"/>
      <c r="AW30" s="1682"/>
      <c r="AX30" s="1682"/>
      <c r="AY30" s="1682"/>
      <c r="AZ30" s="1682"/>
      <c r="BA30" s="1682"/>
      <c r="BB30" s="1682"/>
      <c r="BC30" s="1682"/>
      <c r="BD30" s="1682"/>
      <c r="BE30" s="1682"/>
      <c r="BF30" s="1682"/>
      <c r="BG30" s="1682"/>
      <c r="BH30" s="1682"/>
      <c r="BI30" s="1682"/>
      <c r="BJ30" s="1682"/>
      <c r="BK30" s="1682"/>
      <c r="BL30" s="1682"/>
      <c r="BM30" s="1682"/>
      <c r="BN30" s="1682"/>
      <c r="BO30" s="1682"/>
      <c r="BP30" s="1682"/>
      <c r="BQ30" s="1682"/>
      <c r="BR30" s="1682"/>
      <c r="BS30" s="1682"/>
      <c r="BT30" s="1682"/>
      <c r="BU30" s="1682"/>
      <c r="BV30" s="1682"/>
      <c r="BW30" s="1682"/>
      <c r="BX30" s="1682"/>
      <c r="BY30" s="1682"/>
      <c r="BZ30" s="1682"/>
      <c r="CA30" s="1682"/>
      <c r="CB30" s="1682"/>
      <c r="CC30" s="1682"/>
      <c r="CD30" s="1682"/>
      <c r="CE30" s="1682"/>
    </row>
    <row customHeight="1" ht="11.25" hidden="1">
      <c r="A31" s="1857"/>
      <c r="B31" s="1174"/>
      <c r="C31" s="419"/>
      <c r="D31" s="2159"/>
      <c r="E31" s="657" t="s">
        <v>18</v>
      </c>
      <c r="F31" s="1182" t="s">
        <v>18</v>
      </c>
      <c r="G31" s="1182" t="s">
        <v>424</v>
      </c>
      <c r="H31" s="659" t="s">
        <v>18</v>
      </c>
      <c r="I31" s="659"/>
      <c r="J31" s="659"/>
      <c r="K31" s="659"/>
      <c r="L31" s="659"/>
      <c r="M31" s="659"/>
      <c r="N31" s="659"/>
      <c r="O31" s="659"/>
      <c r="P31" s="659"/>
      <c r="Q31" s="659"/>
      <c r="R31" s="660"/>
      <c r="S31" s="661"/>
      <c r="T31" s="726"/>
      <c r="U31" s="2156"/>
      <c r="V31" s="2156"/>
      <c r="W31" s="1174"/>
      <c r="X31" s="1174"/>
      <c r="Y31" s="1174"/>
      <c r="Z31" s="1174"/>
      <c r="AA31" s="1682"/>
      <c r="AB31" s="1174"/>
      <c r="AC31" s="1847"/>
      <c r="AD31" s="637"/>
      <c r="AE31" s="1174"/>
      <c r="AF31" s="1174"/>
      <c r="AG31" s="1682"/>
      <c r="AH31" s="1682"/>
      <c r="AI31" s="1682"/>
      <c r="AJ31" s="1682"/>
      <c r="AK31" s="1682"/>
      <c r="AL31" s="1682"/>
      <c r="AM31" s="1682"/>
      <c r="AN31" s="1682"/>
      <c r="AO31" s="1682"/>
      <c r="AP31" s="1682"/>
      <c r="AQ31" s="1682"/>
      <c r="AR31" s="1682"/>
      <c r="AS31" s="1682"/>
      <c r="AT31" s="1682"/>
      <c r="AU31" s="1682"/>
      <c r="AV31" s="1682"/>
      <c r="AW31" s="1682"/>
      <c r="AX31" s="1682"/>
      <c r="AY31" s="1682"/>
      <c r="AZ31" s="1682"/>
      <c r="BA31" s="1682"/>
      <c r="BB31" s="1682"/>
      <c r="BC31" s="1682"/>
      <c r="BD31" s="1682"/>
      <c r="BE31" s="1682"/>
      <c r="BF31" s="1682"/>
      <c r="BG31" s="1682"/>
      <c r="BH31" s="1682"/>
      <c r="BI31" s="1682"/>
      <c r="BJ31" s="1682"/>
      <c r="BK31" s="1682"/>
      <c r="BL31" s="1682"/>
      <c r="BM31" s="1682"/>
      <c r="BN31" s="1682"/>
      <c r="BO31" s="1682"/>
      <c r="BP31" s="1682"/>
      <c r="BQ31" s="1682"/>
      <c r="BR31" s="1682"/>
      <c r="BS31" s="1682"/>
      <c r="BT31" s="1682"/>
      <c r="BU31" s="1682"/>
      <c r="BV31" s="1174"/>
      <c r="BW31" s="1174"/>
      <c r="BX31" s="1174"/>
      <c r="BY31" s="1174"/>
      <c r="BZ31" s="1174"/>
      <c r="CA31" s="1174"/>
      <c r="CB31" s="1174"/>
      <c r="CC31" s="1174"/>
      <c r="CD31" s="1174"/>
      <c r="CE31" s="1174"/>
    </row>
    <row customHeight="1" ht="15" hidden="1">
      <c r="A32" s="631" t="s">
        <v>126</v>
      </c>
      <c r="B32" s="632"/>
      <c r="C32" s="632" t="s">
        <v>18</v>
      </c>
      <c r="D32" s="2157" t="s">
        <v>1761</v>
      </c>
      <c r="E32" s="2142" t="s">
        <v>105</v>
      </c>
      <c r="F32" s="2143"/>
      <c r="G32" s="2144"/>
      <c r="H32" s="2145" t="str">
        <f>IF(A32="","",INDEX(DIFFERENTIATION_UNMERGE_VD,MATCH(A32,DIFFERENTIATION_ID_DIFF,0)))</f>
        <v>Подключение (технологическое присоединение) к централизованной системе водоотведения</v>
      </c>
      <c r="I32" s="2145"/>
      <c r="J32" s="2145"/>
      <c r="K32" s="2145"/>
      <c r="L32" s="2145"/>
      <c r="M32" s="2145"/>
      <c r="N32" s="2145"/>
      <c r="O32" s="2145"/>
      <c r="P32" s="2145"/>
      <c r="Q32" s="2145"/>
      <c r="R32" s="2145"/>
      <c r="S32" s="727"/>
      <c r="T32" s="724"/>
      <c r="U32" s="633"/>
      <c r="V32" s="633"/>
      <c r="W32" s="634"/>
      <c r="X32" s="634"/>
      <c r="Y32" s="634"/>
      <c r="Z32" s="634"/>
      <c r="AA32" s="635"/>
      <c r="AB32" s="636"/>
      <c r="AC32" s="2141"/>
      <c r="AD32" s="637"/>
      <c r="AE32" s="638" t="s">
        <v>18</v>
      </c>
      <c r="AF32" s="638"/>
      <c r="AG32" s="639" t="s">
        <v>417</v>
      </c>
      <c r="AH32" s="640">
        <v>3</v>
      </c>
      <c r="AI32" s="633"/>
      <c r="AJ32" s="633"/>
      <c r="AK32" s="633"/>
      <c r="AL32" s="633"/>
      <c r="AM32" s="633"/>
      <c r="AN32" s="633"/>
      <c r="AO32" s="633"/>
      <c r="AP32" s="633"/>
      <c r="AQ32" s="633"/>
      <c r="AR32" s="633"/>
      <c r="AS32" s="633"/>
      <c r="AT32" s="633"/>
      <c r="AU32" s="633"/>
      <c r="AV32" s="633"/>
      <c r="AW32" s="633"/>
      <c r="AX32" s="633"/>
      <c r="AY32" s="633"/>
      <c r="AZ32" s="633"/>
      <c r="BA32" s="633"/>
      <c r="BB32" s="633"/>
      <c r="BC32" s="633"/>
      <c r="BD32" s="633"/>
      <c r="BE32" s="633"/>
      <c r="BF32" s="633"/>
      <c r="BG32" s="633"/>
      <c r="BH32" s="633"/>
      <c r="BI32" s="633"/>
      <c r="BJ32" s="633"/>
      <c r="BK32" s="633"/>
      <c r="BL32" s="633"/>
      <c r="BM32" s="633"/>
      <c r="BN32" s="633"/>
      <c r="BO32" s="633"/>
      <c r="BP32" s="633"/>
      <c r="BQ32" s="633"/>
      <c r="BR32" s="633"/>
      <c r="BS32" s="633"/>
      <c r="BT32" s="633"/>
      <c r="BU32" s="633"/>
      <c r="BV32" s="634"/>
      <c r="BW32" s="634"/>
      <c r="BX32" s="634"/>
      <c r="BY32" s="634"/>
      <c r="BZ32" s="634"/>
      <c r="CA32" s="634"/>
      <c r="CB32" s="634"/>
      <c r="CC32" s="634"/>
      <c r="CD32" s="634"/>
      <c r="CE32" s="634"/>
    </row>
    <row customHeight="1" ht="15" hidden="1">
      <c r="A33" s="631"/>
      <c r="B33" s="632"/>
      <c r="C33" s="632"/>
      <c r="D33" s="2158"/>
      <c r="E33" s="2142" t="s">
        <v>418</v>
      </c>
      <c r="F33" s="2143"/>
      <c r="G33" s="2144"/>
      <c r="H33" s="2145" t="str">
        <f>IF(A32="","",INDEX(DIFFERENTIATION_UNMERGE_AREA,MATCH(A32,DIFFERENTIATION_ID_DIFF,0)))</f>
        <v>без дифференциации</v>
      </c>
      <c r="I33" s="2145"/>
      <c r="J33" s="2145"/>
      <c r="K33" s="2145"/>
      <c r="L33" s="2145"/>
      <c r="M33" s="2145"/>
      <c r="N33" s="2145"/>
      <c r="O33" s="2145"/>
      <c r="P33" s="2145"/>
      <c r="Q33" s="2145"/>
      <c r="R33" s="2145"/>
      <c r="S33" s="727"/>
      <c r="T33" s="724"/>
      <c r="U33" s="633"/>
      <c r="V33" s="633"/>
      <c r="W33" s="634"/>
      <c r="X33" s="634"/>
      <c r="Y33" s="634"/>
      <c r="Z33" s="634"/>
      <c r="AA33" s="635"/>
      <c r="AB33" s="636"/>
      <c r="AC33" s="2141"/>
      <c r="AD33" s="637"/>
      <c r="AE33" s="638"/>
      <c r="AF33" s="638"/>
      <c r="AG33" s="639"/>
      <c r="AH33" s="640"/>
      <c r="AI33" s="633"/>
      <c r="AJ33" s="633"/>
      <c r="AK33" s="633"/>
      <c r="AL33" s="633"/>
      <c r="AM33" s="633"/>
      <c r="AN33" s="633"/>
      <c r="AO33" s="633"/>
      <c r="AP33" s="633"/>
      <c r="AQ33" s="633"/>
      <c r="AR33" s="633"/>
      <c r="AS33" s="633"/>
      <c r="AT33" s="633"/>
      <c r="AU33" s="633"/>
      <c r="AV33" s="633"/>
      <c r="AW33" s="633"/>
      <c r="AX33" s="633"/>
      <c r="AY33" s="633"/>
      <c r="AZ33" s="633"/>
      <c r="BA33" s="633"/>
      <c r="BB33" s="633"/>
      <c r="BC33" s="633"/>
      <c r="BD33" s="633"/>
      <c r="BE33" s="633"/>
      <c r="BF33" s="633"/>
      <c r="BG33" s="633"/>
      <c r="BH33" s="633"/>
      <c r="BI33" s="633"/>
      <c r="BJ33" s="633"/>
      <c r="BK33" s="633"/>
      <c r="BL33" s="633"/>
      <c r="BM33" s="633"/>
      <c r="BN33" s="633"/>
      <c r="BO33" s="633"/>
      <c r="BP33" s="633"/>
      <c r="BQ33" s="633"/>
      <c r="BR33" s="633"/>
      <c r="BS33" s="633"/>
      <c r="BT33" s="633"/>
      <c r="BU33" s="633"/>
      <c r="BV33" s="634"/>
      <c r="BW33" s="634"/>
      <c r="BX33" s="634"/>
      <c r="BY33" s="634"/>
      <c r="BZ33" s="634"/>
      <c r="CA33" s="634"/>
      <c r="CB33" s="634"/>
      <c r="CC33" s="634"/>
      <c r="CD33" s="634"/>
      <c r="CE33" s="634"/>
    </row>
    <row customHeight="1" ht="15" hidden="1">
      <c r="A34" s="631"/>
      <c r="B34" s="632"/>
      <c r="C34" s="632"/>
      <c r="D34" s="2158"/>
      <c r="E34" s="2142" t="s">
        <v>419</v>
      </c>
      <c r="F34" s="2143"/>
      <c r="G34" s="2144"/>
      <c r="H34" s="2145" t="str">
        <f>IF(A32="","",INDEX(DIFFERENTIATION_UNMERGE_SYSTEM,MATCH(A32,DIFFERENTIATION_ID_DIFF,0)))</f>
        <v>без дифференциации</v>
      </c>
      <c r="I34" s="2145"/>
      <c r="J34" s="2145"/>
      <c r="K34" s="2145"/>
      <c r="L34" s="2145"/>
      <c r="M34" s="2145"/>
      <c r="N34" s="2145"/>
      <c r="O34" s="2145"/>
      <c r="P34" s="2145"/>
      <c r="Q34" s="2145"/>
      <c r="R34" s="2145"/>
      <c r="S34" s="727"/>
      <c r="T34" s="724"/>
      <c r="U34" s="633"/>
      <c r="V34" s="633"/>
      <c r="W34" s="634"/>
      <c r="X34" s="634"/>
      <c r="Y34" s="634"/>
      <c r="Z34" s="634"/>
      <c r="AA34" s="635"/>
      <c r="AB34" s="636"/>
      <c r="AC34" s="2141"/>
      <c r="AD34" s="637"/>
      <c r="AE34" s="638"/>
      <c r="AF34" s="638"/>
      <c r="AG34" s="639"/>
      <c r="AH34" s="640"/>
      <c r="AI34" s="633"/>
      <c r="AJ34" s="633"/>
      <c r="AK34" s="633"/>
      <c r="AL34" s="633"/>
      <c r="AM34" s="633"/>
      <c r="AN34" s="633"/>
      <c r="AO34" s="633"/>
      <c r="AP34" s="633"/>
      <c r="AQ34" s="633"/>
      <c r="AR34" s="633"/>
      <c r="AS34" s="633"/>
      <c r="AT34" s="633"/>
      <c r="AU34" s="633"/>
      <c r="AV34" s="633"/>
      <c r="AW34" s="633"/>
      <c r="AX34" s="633"/>
      <c r="AY34" s="633"/>
      <c r="AZ34" s="633"/>
      <c r="BA34" s="633"/>
      <c r="BB34" s="633"/>
      <c r="BC34" s="633"/>
      <c r="BD34" s="633"/>
      <c r="BE34" s="633"/>
      <c r="BF34" s="633"/>
      <c r="BG34" s="633"/>
      <c r="BH34" s="633"/>
      <c r="BI34" s="633"/>
      <c r="BJ34" s="633"/>
      <c r="BK34" s="633"/>
      <c r="BL34" s="633"/>
      <c r="BM34" s="633"/>
      <c r="BN34" s="633"/>
      <c r="BO34" s="633"/>
      <c r="BP34" s="633"/>
      <c r="BQ34" s="633"/>
      <c r="BR34" s="633"/>
      <c r="BS34" s="633"/>
      <c r="BT34" s="633"/>
      <c r="BU34" s="633"/>
      <c r="BV34" s="634"/>
      <c r="BW34" s="634"/>
      <c r="BX34" s="634"/>
      <c r="BY34" s="634"/>
      <c r="BZ34" s="634"/>
      <c r="CA34" s="634"/>
      <c r="CB34" s="634"/>
      <c r="CC34" s="634"/>
      <c r="CD34" s="634"/>
      <c r="CE34" s="634"/>
    </row>
    <row customHeight="1" ht="24.75" hidden="1">
      <c r="A35" s="1857"/>
      <c r="B35" s="1174"/>
      <c r="C35" s="419"/>
      <c r="D35" s="2158"/>
      <c r="E35" s="2155" t="s">
        <v>420</v>
      </c>
      <c r="F35" s="2155"/>
      <c r="G35" s="2155"/>
      <c r="H35" s="2155"/>
      <c r="I35" s="2155"/>
      <c r="J35" s="2155"/>
      <c r="K35" s="2155"/>
      <c r="L35" s="2155"/>
      <c r="M35" s="2155"/>
      <c r="N35" s="2155"/>
      <c r="O35" s="2155"/>
      <c r="P35" s="2155"/>
      <c r="Q35" s="566">
        <f>SUMIF(T36:T37,"i",Q36:Q37)</f>
        <v>0</v>
      </c>
      <c r="R35" s="1030"/>
      <c r="S35" s="1849" t="s">
        <v>421</v>
      </c>
      <c r="T35" s="725" t="s">
        <v>422</v>
      </c>
      <c r="U35" s="2156">
        <v>1</v>
      </c>
      <c r="V35" s="2156" t="s">
        <v>423</v>
      </c>
      <c r="W35" s="1174"/>
      <c r="X35" s="1174"/>
      <c r="Y35" s="1174"/>
      <c r="Z35" s="1174"/>
      <c r="AA35" s="1682"/>
      <c r="AB35" s="1174"/>
      <c r="AC35" s="2141"/>
      <c r="AD35" s="637"/>
      <c r="AE35" s="1174"/>
      <c r="AF35" s="1174"/>
      <c r="AG35" s="1682"/>
      <c r="AH35" s="1682"/>
      <c r="AI35" s="1682"/>
      <c r="AJ35" s="1682"/>
      <c r="AK35" s="1682"/>
      <c r="AL35" s="1682"/>
      <c r="AM35" s="1682"/>
      <c r="AN35" s="1682"/>
      <c r="AO35" s="1682"/>
      <c r="AP35" s="1682"/>
      <c r="AQ35" s="1682"/>
      <c r="AR35" s="1682"/>
      <c r="AS35" s="1682"/>
      <c r="AT35" s="1682"/>
      <c r="AU35" s="1682"/>
      <c r="AV35" s="1682"/>
      <c r="AW35" s="1682"/>
      <c r="AX35" s="1682"/>
      <c r="AY35" s="1682"/>
      <c r="AZ35" s="1682"/>
      <c r="BA35" s="1682"/>
      <c r="BB35" s="1682"/>
      <c r="BC35" s="1682"/>
      <c r="BD35" s="1682"/>
      <c r="BE35" s="1682"/>
      <c r="BF35" s="1682"/>
      <c r="BG35" s="1682"/>
      <c r="BH35" s="1682"/>
      <c r="BI35" s="1682"/>
      <c r="BJ35" s="1682"/>
      <c r="BK35" s="1682"/>
      <c r="BL35" s="1682"/>
      <c r="BM35" s="1682"/>
      <c r="BN35" s="1682"/>
      <c r="BO35" s="1682"/>
      <c r="BP35" s="1682"/>
      <c r="BQ35" s="1682"/>
      <c r="BR35" s="1682"/>
      <c r="BS35" s="1682"/>
      <c r="BT35" s="1682"/>
      <c r="BU35" s="1682"/>
      <c r="BV35" s="1174"/>
      <c r="BW35" s="1174"/>
      <c r="BX35" s="1174"/>
      <c r="BY35" s="1174"/>
      <c r="BZ35" s="1174"/>
      <c r="CA35" s="1174"/>
      <c r="CB35" s="1174"/>
      <c r="CC35" s="1174"/>
      <c r="CD35" s="1174"/>
      <c r="CE35" s="1174"/>
    </row>
    <row customHeight="1" ht="11.25" hidden="1">
      <c r="A36" s="1844"/>
      <c r="B36" s="1682"/>
      <c r="C36" s="1682"/>
      <c r="D36" s="2158"/>
      <c r="E36" s="643"/>
      <c r="F36" s="643">
        <v>0</v>
      </c>
      <c r="G36" s="643"/>
      <c r="H36" s="643"/>
      <c r="I36" s="643"/>
      <c r="J36" s="643"/>
      <c r="K36" s="643"/>
      <c r="L36" s="643"/>
      <c r="M36" s="643"/>
      <c r="N36" s="643"/>
      <c r="O36" s="643"/>
      <c r="P36" s="643"/>
      <c r="Q36" s="643"/>
      <c r="R36" s="643"/>
      <c r="S36" s="644"/>
      <c r="T36" s="726"/>
      <c r="U36" s="2156"/>
      <c r="V36" s="2156"/>
      <c r="W36" s="1682"/>
      <c r="X36" s="1682"/>
      <c r="Y36" s="1682"/>
      <c r="Z36" s="1682"/>
      <c r="AA36" s="1682"/>
      <c r="AB36" s="1174"/>
      <c r="AC36" s="2141"/>
      <c r="AD36" s="637"/>
      <c r="AE36" s="1174"/>
      <c r="AF36" s="1174"/>
      <c r="AG36" s="1682"/>
      <c r="AH36" s="1682"/>
      <c r="AI36" s="1682"/>
      <c r="AJ36" s="1682"/>
      <c r="AK36" s="1682"/>
      <c r="AL36" s="1682"/>
      <c r="AM36" s="1682"/>
      <c r="AN36" s="1682"/>
      <c r="AO36" s="1682"/>
      <c r="AP36" s="1682"/>
      <c r="AQ36" s="1682"/>
      <c r="AR36" s="1682"/>
      <c r="AS36" s="1682"/>
      <c r="AT36" s="1682"/>
      <c r="AU36" s="1682"/>
      <c r="AV36" s="1682"/>
      <c r="AW36" s="1682"/>
      <c r="AX36" s="1682"/>
      <c r="AY36" s="1682"/>
      <c r="AZ36" s="1682"/>
      <c r="BA36" s="1682"/>
      <c r="BB36" s="1682"/>
      <c r="BC36" s="1682"/>
      <c r="BD36" s="1682"/>
      <c r="BE36" s="1682"/>
      <c r="BF36" s="1682"/>
      <c r="BG36" s="1682"/>
      <c r="BH36" s="1682"/>
      <c r="BI36" s="1682"/>
      <c r="BJ36" s="1682"/>
      <c r="BK36" s="1682"/>
      <c r="BL36" s="1682"/>
      <c r="BM36" s="1682"/>
      <c r="BN36" s="1682"/>
      <c r="BO36" s="1682"/>
      <c r="BP36" s="1682"/>
      <c r="BQ36" s="1682"/>
      <c r="BR36" s="1682"/>
      <c r="BS36" s="1682"/>
      <c r="BT36" s="1682"/>
      <c r="BU36" s="1682"/>
      <c r="BV36" s="1682"/>
      <c r="BW36" s="1682"/>
      <c r="BX36" s="1682"/>
      <c r="BY36" s="1682"/>
      <c r="BZ36" s="1682"/>
      <c r="CA36" s="1682"/>
      <c r="CB36" s="1682"/>
      <c r="CC36" s="1682"/>
      <c r="CD36" s="1682"/>
      <c r="CE36" s="1682"/>
    </row>
    <row customHeight="1" ht="11.25" hidden="1">
      <c r="A37" s="1857"/>
      <c r="B37" s="1174"/>
      <c r="C37" s="419"/>
      <c r="D37" s="2158"/>
      <c r="E37" s="657" t="s">
        <v>18</v>
      </c>
      <c r="F37" s="1182" t="s">
        <v>18</v>
      </c>
      <c r="G37" s="1182" t="s">
        <v>424</v>
      </c>
      <c r="H37" s="659" t="s">
        <v>18</v>
      </c>
      <c r="I37" s="659"/>
      <c r="J37" s="659"/>
      <c r="K37" s="659"/>
      <c r="L37" s="659"/>
      <c r="M37" s="659"/>
      <c r="N37" s="659"/>
      <c r="O37" s="659"/>
      <c r="P37" s="659"/>
      <c r="Q37" s="659"/>
      <c r="R37" s="660"/>
      <c r="S37" s="661"/>
      <c r="T37" s="726"/>
      <c r="U37" s="2156"/>
      <c r="V37" s="2156"/>
      <c r="W37" s="1174"/>
      <c r="X37" s="1174"/>
      <c r="Y37" s="1174"/>
      <c r="Z37" s="1174"/>
      <c r="AA37" s="1682"/>
      <c r="AB37" s="1174"/>
      <c r="AC37" s="2141"/>
      <c r="AD37" s="637"/>
      <c r="AE37" s="1174"/>
      <c r="AF37" s="1174"/>
      <c r="AG37" s="1682"/>
      <c r="AH37" s="1682"/>
      <c r="AI37" s="1682"/>
      <c r="AJ37" s="1682"/>
      <c r="AK37" s="1682"/>
      <c r="AL37" s="1682"/>
      <c r="AM37" s="1682"/>
      <c r="AN37" s="1682"/>
      <c r="AO37" s="1682"/>
      <c r="AP37" s="1682"/>
      <c r="AQ37" s="1682"/>
      <c r="AR37" s="1682"/>
      <c r="AS37" s="1682"/>
      <c r="AT37" s="1682"/>
      <c r="AU37" s="1682"/>
      <c r="AV37" s="1682"/>
      <c r="AW37" s="1682"/>
      <c r="AX37" s="1682"/>
      <c r="AY37" s="1682"/>
      <c r="AZ37" s="1682"/>
      <c r="BA37" s="1682"/>
      <c r="BB37" s="1682"/>
      <c r="BC37" s="1682"/>
      <c r="BD37" s="1682"/>
      <c r="BE37" s="1682"/>
      <c r="BF37" s="1682"/>
      <c r="BG37" s="1682"/>
      <c r="BH37" s="1682"/>
      <c r="BI37" s="1682"/>
      <c r="BJ37" s="1682"/>
      <c r="BK37" s="1682"/>
      <c r="BL37" s="1682"/>
      <c r="BM37" s="1682"/>
      <c r="BN37" s="1682"/>
      <c r="BO37" s="1682"/>
      <c r="BP37" s="1682"/>
      <c r="BQ37" s="1682"/>
      <c r="BR37" s="1682"/>
      <c r="BS37" s="1682"/>
      <c r="BT37" s="1682"/>
      <c r="BU37" s="1682"/>
      <c r="BV37" s="1174"/>
      <c r="BW37" s="1174"/>
      <c r="BX37" s="1174"/>
      <c r="BY37" s="1174"/>
      <c r="BZ37" s="1174"/>
      <c r="CA37" s="1174"/>
      <c r="CB37" s="1174"/>
      <c r="CC37" s="1174"/>
      <c r="CD37" s="1174"/>
      <c r="CE37" s="1174"/>
    </row>
    <row customHeight="1" ht="24.75" hidden="1">
      <c r="A38" s="1857"/>
      <c r="B38" s="1174"/>
      <c r="C38" s="419"/>
      <c r="D38" s="2158"/>
      <c r="E38" s="2155" t="s">
        <v>425</v>
      </c>
      <c r="F38" s="2155"/>
      <c r="G38" s="2155"/>
      <c r="H38" s="2155"/>
      <c r="I38" s="2155"/>
      <c r="J38" s="2155"/>
      <c r="K38" s="2155"/>
      <c r="L38" s="2155"/>
      <c r="M38" s="2155"/>
      <c r="N38" s="2155"/>
      <c r="O38" s="2155"/>
      <c r="P38" s="2155"/>
      <c r="Q38" s="566">
        <f>SUMIF(T39:T40,"i",Q39:Q40)</f>
        <v>0</v>
      </c>
      <c r="R38" s="1030"/>
      <c r="S38" s="1849" t="s">
        <v>426</v>
      </c>
      <c r="T38" s="725" t="s">
        <v>422</v>
      </c>
      <c r="U38" s="2156">
        <v>1</v>
      </c>
      <c r="V38" s="2156" t="s">
        <v>423</v>
      </c>
      <c r="W38" s="1174"/>
      <c r="X38" s="1174"/>
      <c r="Y38" s="1174"/>
      <c r="Z38" s="1174"/>
      <c r="AA38" s="1682"/>
      <c r="AB38" s="1174"/>
      <c r="AC38" s="1847"/>
      <c r="AD38" s="637"/>
      <c r="AE38" s="1174"/>
      <c r="AF38" s="1174"/>
      <c r="AG38" s="1682"/>
      <c r="AH38" s="1682"/>
      <c r="AI38" s="1682"/>
      <c r="AJ38" s="1682"/>
      <c r="AK38" s="1682"/>
      <c r="AL38" s="1682"/>
      <c r="AM38" s="1682"/>
      <c r="AN38" s="1682"/>
      <c r="AO38" s="1682"/>
      <c r="AP38" s="1682"/>
      <c r="AQ38" s="1682"/>
      <c r="AR38" s="1682"/>
      <c r="AS38" s="1682"/>
      <c r="AT38" s="1682"/>
      <c r="AU38" s="1682"/>
      <c r="AV38" s="1682"/>
      <c r="AW38" s="1682"/>
      <c r="AX38" s="1682"/>
      <c r="AY38" s="1682"/>
      <c r="AZ38" s="1682"/>
      <c r="BA38" s="1682"/>
      <c r="BB38" s="1682"/>
      <c r="BC38" s="1682"/>
      <c r="BD38" s="1682"/>
      <c r="BE38" s="1682"/>
      <c r="BF38" s="1682"/>
      <c r="BG38" s="1682"/>
      <c r="BH38" s="1682"/>
      <c r="BI38" s="1682"/>
      <c r="BJ38" s="1682"/>
      <c r="BK38" s="1682"/>
      <c r="BL38" s="1682"/>
      <c r="BM38" s="1682"/>
      <c r="BN38" s="1682"/>
      <c r="BO38" s="1682"/>
      <c r="BP38" s="1682"/>
      <c r="BQ38" s="1682"/>
      <c r="BR38" s="1682"/>
      <c r="BS38" s="1682"/>
      <c r="BT38" s="1682"/>
      <c r="BU38" s="1682"/>
      <c r="BV38" s="1174"/>
      <c r="BW38" s="1174"/>
      <c r="BX38" s="1174"/>
      <c r="BY38" s="1174"/>
      <c r="BZ38" s="1174"/>
      <c r="CA38" s="1174"/>
      <c r="CB38" s="1174"/>
      <c r="CC38" s="1174"/>
      <c r="CD38" s="1174"/>
      <c r="CE38" s="1174"/>
    </row>
    <row customHeight="1" ht="11.25" hidden="1">
      <c r="A39" s="1844"/>
      <c r="B39" s="1682"/>
      <c r="C39" s="1682"/>
      <c r="D39" s="2158"/>
      <c r="E39" s="643"/>
      <c r="F39" s="643">
        <v>0</v>
      </c>
      <c r="G39" s="643"/>
      <c r="H39" s="643"/>
      <c r="I39" s="643"/>
      <c r="J39" s="643"/>
      <c r="K39" s="643"/>
      <c r="L39" s="643"/>
      <c r="M39" s="643"/>
      <c r="N39" s="643"/>
      <c r="O39" s="643"/>
      <c r="P39" s="643"/>
      <c r="Q39" s="643"/>
      <c r="R39" s="643"/>
      <c r="S39" s="644"/>
      <c r="T39" s="726"/>
      <c r="U39" s="2156"/>
      <c r="V39" s="2156"/>
      <c r="W39" s="1682"/>
      <c r="X39" s="1682"/>
      <c r="Y39" s="1682"/>
      <c r="Z39" s="1682"/>
      <c r="AA39" s="1682"/>
      <c r="AB39" s="1174"/>
      <c r="AC39" s="1847"/>
      <c r="AD39" s="637"/>
      <c r="AE39" s="1174"/>
      <c r="AF39" s="1174"/>
      <c r="AG39" s="1682"/>
      <c r="AH39" s="1682"/>
      <c r="AI39" s="1682"/>
      <c r="AJ39" s="1682"/>
      <c r="AK39" s="1682"/>
      <c r="AL39" s="1682"/>
      <c r="AM39" s="1682"/>
      <c r="AN39" s="1682"/>
      <c r="AO39" s="1682"/>
      <c r="AP39" s="1682"/>
      <c r="AQ39" s="1682"/>
      <c r="AR39" s="1682"/>
      <c r="AS39" s="1682"/>
      <c r="AT39" s="1682"/>
      <c r="AU39" s="1682"/>
      <c r="AV39" s="1682"/>
      <c r="AW39" s="1682"/>
      <c r="AX39" s="1682"/>
      <c r="AY39" s="1682"/>
      <c r="AZ39" s="1682"/>
      <c r="BA39" s="1682"/>
      <c r="BB39" s="1682"/>
      <c r="BC39" s="1682"/>
      <c r="BD39" s="1682"/>
      <c r="BE39" s="1682"/>
      <c r="BF39" s="1682"/>
      <c r="BG39" s="1682"/>
      <c r="BH39" s="1682"/>
      <c r="BI39" s="1682"/>
      <c r="BJ39" s="1682"/>
      <c r="BK39" s="1682"/>
      <c r="BL39" s="1682"/>
      <c r="BM39" s="1682"/>
      <c r="BN39" s="1682"/>
      <c r="BO39" s="1682"/>
      <c r="BP39" s="1682"/>
      <c r="BQ39" s="1682"/>
      <c r="BR39" s="1682"/>
      <c r="BS39" s="1682"/>
      <c r="BT39" s="1682"/>
      <c r="BU39" s="1682"/>
      <c r="BV39" s="1682"/>
      <c r="BW39" s="1682"/>
      <c r="BX39" s="1682"/>
      <c r="BY39" s="1682"/>
      <c r="BZ39" s="1682"/>
      <c r="CA39" s="1682"/>
      <c r="CB39" s="1682"/>
      <c r="CC39" s="1682"/>
      <c r="CD39" s="1682"/>
      <c r="CE39" s="1682"/>
    </row>
    <row customHeight="1" ht="11.25" hidden="1">
      <c r="A40" s="1857"/>
      <c r="B40" s="1174"/>
      <c r="C40" s="419"/>
      <c r="D40" s="2159"/>
      <c r="E40" s="657" t="s">
        <v>18</v>
      </c>
      <c r="F40" s="1182" t="s">
        <v>18</v>
      </c>
      <c r="G40" s="1182" t="s">
        <v>424</v>
      </c>
      <c r="H40" s="659" t="s">
        <v>18</v>
      </c>
      <c r="I40" s="659"/>
      <c r="J40" s="659"/>
      <c r="K40" s="659"/>
      <c r="L40" s="659"/>
      <c r="M40" s="659"/>
      <c r="N40" s="659"/>
      <c r="O40" s="659"/>
      <c r="P40" s="659"/>
      <c r="Q40" s="659"/>
      <c r="R40" s="660"/>
      <c r="S40" s="661"/>
      <c r="T40" s="726"/>
      <c r="U40" s="2156"/>
      <c r="V40" s="2156"/>
      <c r="W40" s="1174"/>
      <c r="X40" s="1174"/>
      <c r="Y40" s="1174"/>
      <c r="Z40" s="1174"/>
      <c r="AA40" s="1682"/>
      <c r="AB40" s="1174"/>
      <c r="AC40" s="1847"/>
      <c r="AD40" s="637"/>
      <c r="AE40" s="1174"/>
      <c r="AF40" s="1174"/>
      <c r="AG40" s="1682"/>
      <c r="AH40" s="1682"/>
      <c r="AI40" s="1682"/>
      <c r="AJ40" s="1682"/>
      <c r="AK40" s="1682"/>
      <c r="AL40" s="1682"/>
      <c r="AM40" s="1682"/>
      <c r="AN40" s="1682"/>
      <c r="AO40" s="1682"/>
      <c r="AP40" s="1682"/>
      <c r="AQ40" s="1682"/>
      <c r="AR40" s="1682"/>
      <c r="AS40" s="1682"/>
      <c r="AT40" s="1682"/>
      <c r="AU40" s="1682"/>
      <c r="AV40" s="1682"/>
      <c r="AW40" s="1682"/>
      <c r="AX40" s="1682"/>
      <c r="AY40" s="1682"/>
      <c r="AZ40" s="1682"/>
      <c r="BA40" s="1682"/>
      <c r="BB40" s="1682"/>
      <c r="BC40" s="1682"/>
      <c r="BD40" s="1682"/>
      <c r="BE40" s="1682"/>
      <c r="BF40" s="1682"/>
      <c r="BG40" s="1682"/>
      <c r="BH40" s="1682"/>
      <c r="BI40" s="1682"/>
      <c r="BJ40" s="1682"/>
      <c r="BK40" s="1682"/>
      <c r="BL40" s="1682"/>
      <c r="BM40" s="1682"/>
      <c r="BN40" s="1682"/>
      <c r="BO40" s="1682"/>
      <c r="BP40" s="1682"/>
      <c r="BQ40" s="1682"/>
      <c r="BR40" s="1682"/>
      <c r="BS40" s="1682"/>
      <c r="BT40" s="1682"/>
      <c r="BU40" s="1682"/>
      <c r="BV40" s="1174"/>
      <c r="BW40" s="1174"/>
      <c r="BX40" s="1174"/>
      <c r="BY40" s="1174"/>
      <c r="BZ40" s="1174"/>
      <c r="CA40" s="1174"/>
      <c r="CB40" s="1174"/>
      <c r="CC40" s="1174"/>
      <c r="CD40" s="1174"/>
      <c r="CE40" s="1174"/>
    </row>
    <row customHeight="1" ht="18.75">
      <c r="D41" s="1060"/>
      <c r="E41" s="1060"/>
      <c r="F41" s="1060"/>
      <c r="G41" s="1060"/>
      <c r="H41" s="1060"/>
      <c r="I41" s="1060"/>
      <c r="J41" s="1060"/>
      <c r="K41" s="1060"/>
      <c r="L41" s="1060"/>
      <c r="M41" s="1060"/>
      <c r="N41" s="1060"/>
      <c r="O41" s="1060"/>
      <c r="P41" s="1060"/>
      <c r="Q41" s="1060"/>
      <c r="R41" s="1060"/>
      <c r="S41" s="1060"/>
      <c r="T41" s="330"/>
    </row>
    <row customHeight="1" ht="11.25">
      <c r="D42" s="517"/>
    </row>
    <row customHeight="1" ht="11.25">
      <c r="D43" s="662"/>
      <c r="E43" s="662"/>
      <c r="F43" s="662"/>
      <c r="G43" s="663"/>
    </row>
    <row r="45" customHeight="1" ht="11.25">
      <c r="D45" s="664"/>
      <c r="E45" s="2343"/>
      <c r="F45" s="2343"/>
      <c r="G45" s="2343"/>
      <c r="H45" s="2343"/>
      <c r="I45" s="2343"/>
      <c r="J45" s="2343"/>
      <c r="K45" s="2343"/>
      <c r="L45" s="2343"/>
      <c r="M45" s="2343"/>
      <c r="N45" s="2343"/>
      <c r="O45" s="2343"/>
      <c r="P45" s="2343"/>
      <c r="Q45" s="2343"/>
      <c r="R45" s="2343"/>
    </row>
    <row customHeight="1" ht="11.25">
      <c r="F46" s="768"/>
      <c r="G46" s="768"/>
    </row>
  </sheetData>
  <sheetProtection formatColumns="0" formatRows="0" autoFilter="0" sort="0" insertRows="0" insertColumns="1" deleteRows="0" deleteColumns="0"/>
  <mergeCells count="50">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947EE7-2897-B5C2-079F-6ACE49659561}" mc:Ignorable="x14ac xr xr2 xr3">
  <sheetPr>
    <tabColor theme="9" tint="-0.25"/>
  </sheetPr>
  <dimension ref="A1:AG218"/>
  <sheetViews>
    <sheetView topLeftCell="A1" showGridLines="0" zoomScale="90" workbookViewId="0">
      <selection activeCell="K1" sqref="K1:K1048576"/>
    </sheetView>
  </sheetViews>
  <sheetFormatPr defaultColWidth="9.140625" customHeight="1" defaultRowHeight="11.25"/>
  <cols>
    <col min="1" max="1" style="4339" width="10.7109375" hidden="1" customWidth="1"/>
    <col min="2" max="2" style="3159" width="16.8515625" hidden="1" customWidth="1"/>
    <col min="3" max="3" style="3165" width="5.57421875" hidden="1" customWidth="1"/>
    <col min="4" max="4" style="4464" width="3.7109375" customWidth="1"/>
    <col min="5" max="5" style="2885" width="7.7109375" customWidth="1"/>
    <col min="6" max="6" style="2885" width="56.140625" customWidth="1"/>
    <col min="7" max="7" style="2885" width="10.421875" customWidth="1"/>
    <col min="8" max="8" style="2885" width="40.7109375" hidden="1" customWidth="1"/>
    <col min="9" max="9" style="2885" width="40.7109375" customWidth="1"/>
    <col min="10" max="11" style="4122" width="40.7109375" customWidth="1"/>
    <col min="12" max="12" style="4122" width="40.7109375" hidden="1" customWidth="1"/>
    <col min="13" max="13" style="3159" width="9.7109375" customWidth="1"/>
    <col min="14" max="14" style="3165" width="5.28125" customWidth="1"/>
    <col min="15" max="15" style="3165" width="3.7109375" customWidth="1"/>
    <col min="16" max="19" style="3159" width="3.7109375" customWidth="1"/>
    <col min="20" max="20" style="3165" width="10.57421875" customWidth="1"/>
    <col min="21" max="21" style="3159" width="34.7109375" customWidth="1"/>
    <col min="22" max="22" style="3159" width="9.421875" customWidth="1"/>
    <col min="23" max="23" style="4342" width="9.140625"/>
    <col min="24" max="28" style="3159" width="9.140625"/>
    <col min="29" max="33" style="2884" width="9.140625"/>
  </cols>
  <sheetData>
    <row s="3159" customFormat="1" customHeight="1" ht="11.25" hidden="1">
      <c r="A1" s="1000"/>
      <c r="C1" s="1682"/>
      <c r="D1" s="545"/>
      <c r="H1" s="1174">
        <v>4</v>
      </c>
      <c r="I1" s="1174">
        <v>4</v>
      </c>
      <c r="J1" s="4116">
        <v>4</v>
      </c>
      <c r="K1" s="4116">
        <v>4</v>
      </c>
      <c r="L1" s="4116">
        <v>4</v>
      </c>
      <c r="N1" s="1682"/>
      <c r="O1" s="1682"/>
      <c r="T1" s="1682"/>
    </row>
    <row s="3159" customFormat="1" customHeight="1" ht="22.5" hidden="1">
      <c r="A2" s="1000"/>
      <c r="C2" s="1682"/>
      <c r="D2" s="546"/>
      <c r="E2" s="1683"/>
      <c r="F2" s="548"/>
      <c r="G2" s="1685" t="s">
        <v>1718</v>
      </c>
      <c r="H2" s="549"/>
      <c r="I2" s="549"/>
      <c r="J2" s="4336"/>
      <c r="K2" s="4336"/>
      <c r="L2" s="4336"/>
      <c r="M2" s="551"/>
      <c r="N2" s="1682"/>
      <c r="O2" s="1682"/>
      <c r="T2" s="1682"/>
      <c r="W2" s="552"/>
      <c r="AC2" s="1678"/>
      <c r="AD2" s="1678"/>
      <c r="AE2" s="1678"/>
      <c r="AF2" s="1678"/>
      <c r="AG2" s="1678"/>
    </row>
    <row customHeight="1" ht="11.25" hidden="1">
      <c r="J3" s="4122"/>
      <c r="K3" s="4122"/>
      <c r="L3" s="4122"/>
    </row>
    <row s="2884" customFormat="1" customHeight="1" ht="11.25" hidden="1">
      <c r="A4" s="1000"/>
      <c r="B4" s="1174"/>
      <c r="C4" s="1682"/>
      <c r="D4" s="360"/>
      <c r="J4" s="4346"/>
      <c r="K4" s="4346"/>
      <c r="L4" s="4346"/>
      <c r="M4" s="1174"/>
      <c r="N4" s="1682"/>
      <c r="O4" s="1682"/>
      <c r="P4" s="1174"/>
      <c r="Q4" s="1174"/>
      <c r="R4" s="1174"/>
      <c r="S4" s="1174"/>
      <c r="T4" s="1682"/>
      <c r="U4" s="1174"/>
      <c r="V4" s="1174"/>
      <c r="W4" s="552"/>
      <c r="X4" s="1174"/>
      <c r="Y4" s="1174"/>
      <c r="Z4" s="1174"/>
      <c r="AA4" s="1174"/>
      <c r="AB4" s="1174"/>
    </row>
    <row customHeight="1" ht="11.25">
      <c r="J5" s="4122"/>
      <c r="K5" s="4122"/>
      <c r="L5" s="4122"/>
    </row>
    <row customHeight="1" ht="24">
      <c r="E6" s="2168" t="s">
        <v>1762</v>
      </c>
      <c r="F6" s="2169"/>
      <c r="G6" s="2169"/>
      <c r="H6" s="2169"/>
      <c r="I6" s="2170"/>
      <c r="J6" s="4123"/>
      <c r="K6" s="4123"/>
      <c r="L6" s="4123"/>
    </row>
    <row customHeight="1" ht="24">
      <c r="E7" s="2171" t="str">
        <f>IF(org=0,"Не определено",org)</f>
        <v>МУП "Уссурийск-Водоканал"</v>
      </c>
      <c r="F7" s="2172"/>
      <c r="G7" s="2172"/>
      <c r="H7" s="2172"/>
      <c r="I7" s="2173"/>
      <c r="J7" s="4124"/>
      <c r="K7" s="4124"/>
      <c r="L7" s="4124"/>
    </row>
    <row customHeight="1" ht="11.25">
      <c r="E8" s="1149"/>
      <c r="F8" s="1149"/>
      <c r="G8" s="1149"/>
      <c r="H8" s="1149"/>
      <c r="I8" s="1149"/>
      <c r="J8" s="4348"/>
      <c r="K8" s="4348"/>
      <c r="L8" s="4348"/>
    </row>
    <row s="3165" customFormat="1" customHeight="1" ht="0.75">
      <c r="A9" s="1181"/>
      <c r="D9" s="1688"/>
      <c r="H9" s="900"/>
      <c r="I9" s="900" t="s">
        <v>118</v>
      </c>
      <c r="J9" s="4351" t="s">
        <v>123</v>
      </c>
      <c r="K9" s="4351" t="s">
        <v>126</v>
      </c>
      <c r="L9" s="4351"/>
    </row>
    <row customHeight="1" ht="11.25">
      <c r="E10" s="719"/>
      <c r="F10" s="2308" t="s">
        <v>105</v>
      </c>
      <c r="G10" s="2309"/>
      <c r="H10" s="1598" t="str">
        <f>IF(H9="","",INDEX(DIFFERENTIATION_UNMERGE_VD,MATCH(H9,DIFFERENTIATION_ID_DIFF,0)))</f>
        <v/>
      </c>
      <c r="I10" s="1598" t="str">
        <f>IF(I9="","",INDEX(DIFFERENTIATION_UNMERGE_VD,MATCH(I9,DIFFERENTIATION_ID_DIFF,0)))</f>
        <v>Водоотведение</v>
      </c>
      <c r="J10" s="4353" t="str">
        <f>IF(J9="","",INDEX(DIFFERENTIATION_UNMERGE_VD,MATCH(J9,DIFFERENTIATION_ID_DIFF,0)))</f>
        <v>Водоотведение</v>
      </c>
      <c r="K10" s="4353" t="str">
        <f>IF(K9="","",INDEX(DIFFERENTIATION_UNMERGE_VD,MATCH(K9,DIFFERENTIATION_ID_DIFF,0)))</f>
        <v>Подключение (технологическое присоединение) к централизованной системе водоотведения</v>
      </c>
      <c r="L10" s="4353" t="str">
        <f>IF(L9="","",INDEX(DIFFERENTIATION_UNMERGE_VD,MATCH(L9,DIFFERENTIATION_ID_DIFF,0)))</f>
        <v/>
      </c>
    </row>
    <row customHeight="1" ht="11.25">
      <c r="E11" s="719"/>
      <c r="F11" s="2308" t="s">
        <v>418</v>
      </c>
      <c r="G11" s="2309"/>
      <c r="H11" s="1598" t="str">
        <f>IF(H9="","",INDEX(DIFFERENTIATION_UNMERGE_AREA,MATCH(H9,DIFFERENTIATION_ID_DIFF,0)))</f>
        <v/>
      </c>
      <c r="I11" s="1598" t="str">
        <f>IF(I9="","",INDEX(DIFFERENTIATION_UNMERGE_AREA,MATCH(I9,DIFFERENTIATION_ID_DIFF,0)))</f>
        <v>без дифференциации</v>
      </c>
      <c r="J11" s="4353" t="str">
        <f>IF(J9="","",INDEX(DIFFERENTIATION_UNMERGE_AREA,MATCH(J9,DIFFERENTIATION_ID_DIFF,0)))</f>
        <v>без дифференциации</v>
      </c>
      <c r="K11" s="4353" t="str">
        <f>IF(K9="","",INDEX(DIFFERENTIATION_UNMERGE_AREA,MATCH(K9,DIFFERENTIATION_ID_DIFF,0)))</f>
        <v>без дифференциации</v>
      </c>
      <c r="L11" s="4353" t="str">
        <f>IF(L9="","",INDEX(DIFFERENTIATION_UNMERGE_AREA,MATCH(L9,DIFFERENTIATION_ID_DIFF,0)))</f>
        <v/>
      </c>
    </row>
    <row customHeight="1" ht="11.25" hidden="1">
      <c r="E12" s="1708"/>
      <c r="F12" s="2344" t="s">
        <v>419</v>
      </c>
      <c r="G12" s="2345"/>
      <c r="H12" s="1709" t="str">
        <f>IF(H9="","",INDEX(DIFFERENTIATION_UNMERGE_SYSTEM,MATCH(H9,DIFFERENTIATION_ID_DIFF,0)))</f>
        <v/>
      </c>
      <c r="I12" s="1709" t="str">
        <f>IF(I9="","",INDEX(DIFFERENTIATION_UNMERGE_SYSTEM,MATCH(I9,DIFFERENTIATION_ID_DIFF,0)))</f>
        <v>Уссурийский  городской  округ</v>
      </c>
      <c r="J12" s="4507" t="str">
        <f>IF(J9="","",INDEX(DIFFERENTIATION_UNMERGE_SYSTEM,MATCH(J9,DIFFERENTIATION_ID_DIFF,0)))</f>
        <v>ООО " Промышленный  парк  Уссурийский " и  ООО                   "АльянсГрупп"</v>
      </c>
      <c r="K12" s="4507" t="str">
        <f>IF(K9="","",INDEX(DIFFERENTIATION_UNMERGE_SYSTEM,MATCH(K9,DIFFERENTIATION_ID_DIFF,0)))</f>
        <v>без дифференциации</v>
      </c>
      <c r="L12" s="4507" t="str">
        <f>IF(L9="","",INDEX(DIFFERENTIATION_UNMERGE_SYSTEM,MATCH(L9,DIFFERENTIATION_ID_DIFF,0)))</f>
        <v/>
      </c>
    </row>
    <row customHeight="1" ht="11.25">
      <c r="E13" s="2310" t="s">
        <v>293</v>
      </c>
      <c r="F13" s="2311"/>
      <c r="G13" s="2311"/>
      <c r="H13" s="1597"/>
      <c r="I13" s="1597"/>
      <c r="J13" s="4137"/>
      <c r="K13" s="4137"/>
      <c r="L13" s="4137"/>
    </row>
    <row customHeight="1" ht="22.5">
      <c r="E14" s="1685" t="s">
        <v>88</v>
      </c>
      <c r="F14" s="1680" t="s">
        <v>295</v>
      </c>
      <c r="G14" s="1680" t="s">
        <v>1616</v>
      </c>
      <c r="H14" s="1680" t="s">
        <v>296</v>
      </c>
      <c r="I14" s="1680" t="s">
        <v>296</v>
      </c>
      <c r="J14" s="4142" t="s">
        <v>296</v>
      </c>
      <c r="K14" s="4142" t="s">
        <v>296</v>
      </c>
      <c r="L14" s="4142" t="s">
        <v>296</v>
      </c>
    </row>
    <row customHeight="1" ht="18.75">
      <c r="D15" s="1684"/>
      <c r="E15" s="1676" t="s">
        <v>109</v>
      </c>
      <c r="F15" s="715" t="s">
        <v>1763</v>
      </c>
      <c r="G15" s="1692" t="s">
        <v>1718</v>
      </c>
      <c r="H15" s="565"/>
      <c r="I15" s="565"/>
      <c r="J15" s="4358"/>
      <c r="K15" s="4358"/>
      <c r="L15" s="4358"/>
      <c r="M15" s="551" t="s">
        <v>1764</v>
      </c>
    </row>
    <row customHeight="1" ht="33.75">
      <c r="D16" s="1684"/>
      <c r="E16" s="1676" t="s">
        <v>110</v>
      </c>
      <c r="F16" s="715" t="s">
        <v>1765</v>
      </c>
      <c r="G16" s="1692" t="s">
        <v>1718</v>
      </c>
      <c r="H16" s="566">
        <f>SUM(H17,H20:H32)</f>
        <v>0</v>
      </c>
      <c r="I16" s="566">
        <f>SUM(I17,I20:I32)</f>
        <v>0</v>
      </c>
      <c r="J16" s="4359">
        <f>SUM(J17,J20:J32)</f>
        <v>0</v>
      </c>
      <c r="K16" s="4359">
        <f>SUM(K17,K20:K32)</f>
        <v>0</v>
      </c>
      <c r="L16" s="4359">
        <f>SUM(L17,L20:L32)</f>
        <v>0</v>
      </c>
      <c r="M16" s="551" t="s">
        <v>1764</v>
      </c>
    </row>
    <row customHeight="1" ht="18.75">
      <c r="D17" s="1684"/>
      <c r="E17" s="1710" t="s">
        <v>456</v>
      </c>
      <c r="F17" s="967" t="s">
        <v>1766</v>
      </c>
      <c r="G17" s="1689" t="s">
        <v>1718</v>
      </c>
      <c r="H17" s="565"/>
      <c r="I17" s="565"/>
      <c r="J17" s="4358"/>
      <c r="K17" s="4358"/>
      <c r="L17" s="4358"/>
      <c r="M17" s="551"/>
    </row>
    <row customHeight="1" ht="22.5">
      <c r="D18" s="1684"/>
      <c r="E18" s="1710" t="s">
        <v>458</v>
      </c>
      <c r="F18" s="1696" t="s">
        <v>1767</v>
      </c>
      <c r="G18" s="1689" t="s">
        <v>1718</v>
      </c>
      <c r="H18" s="565"/>
      <c r="I18" s="565"/>
      <c r="J18" s="4358"/>
      <c r="K18" s="4358"/>
      <c r="L18" s="4358"/>
      <c r="M18" s="551"/>
    </row>
    <row customHeight="1" ht="33.75">
      <c r="D19" s="1684"/>
      <c r="E19" s="1710" t="s">
        <v>1768</v>
      </c>
      <c r="F19" s="1696" t="s">
        <v>1769</v>
      </c>
      <c r="G19" s="1689" t="s">
        <v>1718</v>
      </c>
      <c r="H19" s="565"/>
      <c r="I19" s="565"/>
      <c r="J19" s="4358"/>
      <c r="K19" s="4358"/>
      <c r="L19" s="4358"/>
      <c r="M19" s="551"/>
    </row>
    <row customHeight="1" ht="18.75">
      <c r="D20" s="1684"/>
      <c r="E20" s="1710" t="s">
        <v>300</v>
      </c>
      <c r="F20" s="967" t="s">
        <v>1770</v>
      </c>
      <c r="G20" s="1689" t="s">
        <v>1718</v>
      </c>
      <c r="H20" s="565"/>
      <c r="I20" s="565"/>
      <c r="J20" s="4358"/>
      <c r="K20" s="4358"/>
      <c r="L20" s="4358"/>
      <c r="M20" s="551"/>
    </row>
    <row customHeight="1" ht="18.75">
      <c r="D21" s="1684"/>
      <c r="E21" s="1710" t="s">
        <v>1373</v>
      </c>
      <c r="F21" s="1696" t="s">
        <v>1771</v>
      </c>
      <c r="G21" s="1689" t="s">
        <v>1718</v>
      </c>
      <c r="H21" s="565"/>
      <c r="I21" s="565"/>
      <c r="J21" s="4358"/>
      <c r="K21" s="4358"/>
      <c r="L21" s="4358"/>
      <c r="M21" s="551"/>
    </row>
    <row customHeight="1" ht="18.75">
      <c r="D22" s="1684"/>
      <c r="E22" s="1710" t="s">
        <v>1378</v>
      </c>
      <c r="F22" s="1696" t="s">
        <v>1772</v>
      </c>
      <c r="G22" s="1689" t="s">
        <v>1718</v>
      </c>
      <c r="H22" s="565"/>
      <c r="I22" s="565"/>
      <c r="J22" s="4358"/>
      <c r="K22" s="4358"/>
      <c r="L22" s="4358"/>
      <c r="M22" s="551"/>
    </row>
    <row customHeight="1" ht="22.5">
      <c r="D23" s="1684"/>
      <c r="E23" s="1710" t="s">
        <v>303</v>
      </c>
      <c r="F23" s="967" t="s">
        <v>1773</v>
      </c>
      <c r="G23" s="1689" t="s">
        <v>1718</v>
      </c>
      <c r="H23" s="565"/>
      <c r="I23" s="565"/>
      <c r="J23" s="4358"/>
      <c r="K23" s="4358"/>
      <c r="L23" s="4358"/>
      <c r="M23" s="551"/>
    </row>
    <row customHeight="1" ht="18.75">
      <c r="D24" s="1684"/>
      <c r="E24" s="1710" t="s">
        <v>1372</v>
      </c>
      <c r="F24" s="1696" t="s">
        <v>1774</v>
      </c>
      <c r="G24" s="1689" t="s">
        <v>1718</v>
      </c>
      <c r="H24" s="565"/>
      <c r="I24" s="565"/>
      <c r="J24" s="4358"/>
      <c r="K24" s="4358"/>
      <c r="L24" s="4358"/>
      <c r="M24" s="551"/>
    </row>
    <row customHeight="1" ht="33.75">
      <c r="D25" s="1684"/>
      <c r="E25" s="1710" t="s">
        <v>1377</v>
      </c>
      <c r="F25" s="1696" t="s">
        <v>1775</v>
      </c>
      <c r="G25" s="1689" t="s">
        <v>1718</v>
      </c>
      <c r="H25" s="565"/>
      <c r="I25" s="565"/>
      <c r="J25" s="4358"/>
      <c r="K25" s="4358"/>
      <c r="L25" s="4358"/>
      <c r="M25" s="551"/>
    </row>
    <row customHeight="1" ht="22.5">
      <c r="D26" s="1684"/>
      <c r="E26" s="1710" t="s">
        <v>1367</v>
      </c>
      <c r="F26" s="967" t="s">
        <v>1776</v>
      </c>
      <c r="G26" s="1689" t="s">
        <v>1718</v>
      </c>
      <c r="H26" s="565"/>
      <c r="I26" s="565"/>
      <c r="J26" s="4358"/>
      <c r="K26" s="4358"/>
      <c r="L26" s="4358"/>
      <c r="M26" s="551"/>
    </row>
    <row customHeight="1" ht="18.75">
      <c r="D27" s="1684"/>
      <c r="E27" s="1721" t="s">
        <v>1388</v>
      </c>
      <c r="F27" s="1696" t="s">
        <v>1777</v>
      </c>
      <c r="G27" s="1700" t="s">
        <v>1718</v>
      </c>
      <c r="H27" s="1722"/>
      <c r="I27" s="1722"/>
      <c r="J27" s="4515"/>
      <c r="K27" s="4515"/>
      <c r="L27" s="4515"/>
      <c r="M27" s="551"/>
    </row>
    <row customHeight="1" ht="18.75">
      <c r="D28" s="1684"/>
      <c r="E28" s="1721" t="s">
        <v>1392</v>
      </c>
      <c r="F28" s="1696" t="s">
        <v>1778</v>
      </c>
      <c r="G28" s="1700" t="s">
        <v>1718</v>
      </c>
      <c r="H28" s="1722"/>
      <c r="I28" s="1722"/>
      <c r="J28" s="4515"/>
      <c r="K28" s="4515"/>
      <c r="L28" s="4515"/>
      <c r="M28" s="551"/>
    </row>
    <row customHeight="1" ht="18.75">
      <c r="D29" s="1684"/>
      <c r="E29" s="1721" t="s">
        <v>1369</v>
      </c>
      <c r="F29" s="967" t="s">
        <v>1779</v>
      </c>
      <c r="G29" s="1700" t="s">
        <v>1718</v>
      </c>
      <c r="H29" s="1722"/>
      <c r="I29" s="1722"/>
      <c r="J29" s="4515"/>
      <c r="K29" s="4515"/>
      <c r="L29" s="4515"/>
      <c r="M29" s="551"/>
    </row>
    <row customHeight="1" ht="18.75">
      <c r="D30" s="1684"/>
      <c r="E30" s="1721" t="s">
        <v>1383</v>
      </c>
      <c r="F30" s="967" t="s">
        <v>1780</v>
      </c>
      <c r="G30" s="1700" t="s">
        <v>1718</v>
      </c>
      <c r="H30" s="1722"/>
      <c r="I30" s="1722"/>
      <c r="J30" s="4515"/>
      <c r="K30" s="4515"/>
      <c r="L30" s="4515"/>
      <c r="M30" s="551"/>
    </row>
    <row customHeight="1" ht="18.75">
      <c r="D31" s="1684"/>
      <c r="E31" s="1721" t="s">
        <v>1394</v>
      </c>
      <c r="F31" s="967" t="s">
        <v>1781</v>
      </c>
      <c r="G31" s="1700" t="s">
        <v>1718</v>
      </c>
      <c r="H31" s="1722"/>
      <c r="I31" s="1722"/>
      <c r="J31" s="4515"/>
      <c r="K31" s="4515"/>
      <c r="L31" s="4515"/>
      <c r="M31" s="551"/>
    </row>
    <row s="3159" customFormat="1" customHeight="1" ht="22.5">
      <c r="A32" s="1000"/>
      <c r="C32" s="1682"/>
      <c r="D32" s="1684"/>
      <c r="E32" s="1721" t="s">
        <v>1405</v>
      </c>
      <c r="F32" s="967" t="s">
        <v>1782</v>
      </c>
      <c r="G32" s="1690" t="s">
        <v>1718</v>
      </c>
      <c r="H32" s="587">
        <f>SUM(H33:H34)</f>
        <v>0</v>
      </c>
      <c r="I32" s="587">
        <f>SUM(I33:I34)</f>
        <v>0</v>
      </c>
      <c r="J32" s="4394">
        <f>SUM(J33:J34)</f>
        <v>0</v>
      </c>
      <c r="K32" s="4394">
        <f>SUM(K33:K34)</f>
        <v>0</v>
      </c>
      <c r="L32" s="4394">
        <f>SUM(L33:L34)</f>
        <v>0</v>
      </c>
      <c r="M32" s="551"/>
      <c r="N32" s="1682"/>
      <c r="O32" s="1682"/>
      <c r="T32" s="1682"/>
      <c r="W32" s="552"/>
      <c r="AC32" s="1678"/>
      <c r="AD32" s="1678"/>
      <c r="AE32" s="1678"/>
      <c r="AF32" s="1678"/>
      <c r="AG32" s="1678"/>
    </row>
    <row s="3165" customFormat="1" customHeight="1" ht="0.75">
      <c r="A33" s="1181"/>
      <c r="D33" s="556"/>
      <c r="E33" s="812" t="str">
        <f>E32&amp;".0"</f>
        <v>2.8.0</v>
      </c>
      <c r="F33" s="1004"/>
      <c r="G33" s="559"/>
      <c r="H33" s="1005"/>
      <c r="I33" s="1005"/>
      <c r="J33" s="4397"/>
      <c r="K33" s="4397"/>
      <c r="L33" s="4397"/>
    </row>
    <row s="3159" customFormat="1" customHeight="1" ht="18.75">
      <c r="A34" s="1000"/>
      <c r="C34" s="1682"/>
      <c r="D34" s="1679"/>
      <c r="E34" s="578"/>
      <c r="F34" s="1712" t="s">
        <v>1734</v>
      </c>
      <c r="G34" s="580"/>
      <c r="H34" s="581"/>
      <c r="I34" s="581"/>
      <c r="J34" s="4517"/>
      <c r="K34" s="4518"/>
      <c r="L34" s="4519"/>
      <c r="M34" s="551"/>
      <c r="N34" s="1682"/>
      <c r="O34" s="1682"/>
      <c r="T34" s="1682"/>
      <c r="W34" s="552"/>
      <c r="AC34" s="1678"/>
      <c r="AD34" s="1678"/>
      <c r="AE34" s="1678"/>
      <c r="AF34" s="1678"/>
      <c r="AG34" s="1678"/>
    </row>
    <row customHeight="1" ht="56.25">
      <c r="D35" s="1684"/>
      <c r="E35" s="1721" t="s">
        <v>1413</v>
      </c>
      <c r="F35" s="967" t="s">
        <v>1783</v>
      </c>
      <c r="G35" s="1700" t="s">
        <v>1718</v>
      </c>
      <c r="H35" s="1722"/>
      <c r="I35" s="1722"/>
      <c r="J35" s="4515"/>
      <c r="K35" s="4515"/>
      <c r="L35" s="4515"/>
      <c r="M35" s="551"/>
    </row>
    <row s="3159" customFormat="1" customHeight="1" ht="22.5">
      <c r="A36" s="1002" t="s">
        <v>1735</v>
      </c>
      <c r="C36" s="1682"/>
      <c r="D36" s="1684"/>
      <c r="E36" s="1710" t="s">
        <v>90</v>
      </c>
      <c r="F36" s="715" t="s">
        <v>1784</v>
      </c>
      <c r="G36" s="1689" t="s">
        <v>1718</v>
      </c>
      <c r="H36" s="565"/>
      <c r="I36" s="565"/>
      <c r="J36" s="4358"/>
      <c r="K36" s="4358"/>
      <c r="L36" s="4358"/>
      <c r="M36" s="551"/>
      <c r="N36" s="1682"/>
      <c r="O36" s="1682"/>
      <c r="T36" s="1682"/>
      <c r="W36" s="552"/>
      <c r="AC36" s="1678"/>
      <c r="AD36" s="1678"/>
      <c r="AE36" s="1678"/>
      <c r="AF36" s="1678"/>
      <c r="AG36" s="1678"/>
    </row>
    <row s="3159" customFormat="1" customHeight="1" ht="22.5">
      <c r="A37" s="1002"/>
      <c r="C37" s="1682"/>
      <c r="D37" s="1684"/>
      <c r="E37" s="1710" t="s">
        <v>319</v>
      </c>
      <c r="F37" s="967" t="s">
        <v>1785</v>
      </c>
      <c r="G37" s="1700"/>
      <c r="H37" s="565"/>
      <c r="I37" s="565"/>
      <c r="J37" s="4358"/>
      <c r="K37" s="4358"/>
      <c r="L37" s="4358"/>
      <c r="M37" s="551"/>
      <c r="N37" s="1682"/>
      <c r="O37" s="1682"/>
      <c r="T37" s="1682"/>
      <c r="W37" s="552"/>
      <c r="AC37" s="1678"/>
      <c r="AD37" s="1678"/>
      <c r="AE37" s="1678"/>
      <c r="AF37" s="1678"/>
      <c r="AG37" s="1678"/>
    </row>
    <row s="3159" customFormat="1" customHeight="1" ht="18.75">
      <c r="A38" s="1000"/>
      <c r="C38" s="1682"/>
      <c r="D38" s="583"/>
      <c r="E38" s="1710" t="s">
        <v>91</v>
      </c>
      <c r="F38" s="715" t="s">
        <v>1468</v>
      </c>
      <c r="G38" s="1689" t="s">
        <v>1718</v>
      </c>
      <c r="H38" s="565"/>
      <c r="I38" s="565"/>
      <c r="J38" s="4358"/>
      <c r="K38" s="4358"/>
      <c r="L38" s="4358"/>
      <c r="M38" s="551"/>
      <c r="N38" s="1682"/>
      <c r="O38" s="1682"/>
      <c r="T38" s="1682"/>
      <c r="W38" s="552"/>
      <c r="AC38" s="1678"/>
      <c r="AD38" s="1678"/>
      <c r="AE38" s="1678"/>
      <c r="AF38" s="1678"/>
      <c r="AG38" s="1678"/>
    </row>
    <row s="3159" customFormat="1" customHeight="1" ht="22.5">
      <c r="A39" s="1000"/>
      <c r="C39" s="1682"/>
      <c r="D39" s="583"/>
      <c r="E39" s="1710" t="s">
        <v>1466</v>
      </c>
      <c r="F39" s="967" t="s">
        <v>1786</v>
      </c>
      <c r="G39" s="1700" t="s">
        <v>1718</v>
      </c>
      <c r="H39" s="565"/>
      <c r="I39" s="565"/>
      <c r="J39" s="4358"/>
      <c r="K39" s="4358"/>
      <c r="L39" s="4358"/>
      <c r="M39" s="551"/>
      <c r="N39" s="1682"/>
      <c r="O39" s="1682"/>
      <c r="T39" s="1682"/>
      <c r="W39" s="552"/>
      <c r="AC39" s="1678"/>
      <c r="AD39" s="1678"/>
      <c r="AE39" s="1678"/>
      <c r="AF39" s="1678"/>
      <c r="AG39" s="1678"/>
    </row>
    <row s="3159" customFormat="1" customHeight="1" ht="22.5">
      <c r="A40" s="1000"/>
      <c r="C40" s="1682"/>
      <c r="D40" s="1684"/>
      <c r="E40" s="1710" t="s">
        <v>1474</v>
      </c>
      <c r="F40" s="1696" t="s">
        <v>1787</v>
      </c>
      <c r="G40" s="1689" t="s">
        <v>1718</v>
      </c>
      <c r="H40" s="565"/>
      <c r="I40" s="565"/>
      <c r="J40" s="4358"/>
      <c r="K40" s="4358"/>
      <c r="L40" s="4358"/>
      <c r="M40" s="551"/>
      <c r="N40" s="1682"/>
      <c r="O40" s="1682"/>
      <c r="T40" s="1682"/>
      <c r="W40" s="552"/>
      <c r="AC40" s="1678"/>
      <c r="AD40" s="1678"/>
      <c r="AE40" s="1678"/>
      <c r="AF40" s="1678"/>
      <c r="AG40" s="1678"/>
    </row>
    <row s="3159" customFormat="1" customHeight="1" ht="22.5">
      <c r="A41" s="1000"/>
      <c r="C41" s="1682"/>
      <c r="D41" s="1684"/>
      <c r="E41" s="1710" t="s">
        <v>1479</v>
      </c>
      <c r="F41" s="1696" t="s">
        <v>1788</v>
      </c>
      <c r="G41" s="1689" t="s">
        <v>1718</v>
      </c>
      <c r="H41" s="565"/>
      <c r="I41" s="565"/>
      <c r="J41" s="4358"/>
      <c r="K41" s="4358"/>
      <c r="L41" s="4358"/>
      <c r="M41" s="551"/>
      <c r="N41" s="1682"/>
      <c r="O41" s="1682"/>
      <c r="T41" s="1682"/>
      <c r="W41" s="552"/>
      <c r="AC41" s="1678"/>
      <c r="AD41" s="1678"/>
      <c r="AE41" s="1678"/>
      <c r="AF41" s="1678"/>
      <c r="AG41" s="1678"/>
    </row>
    <row s="3159" customFormat="1" customHeight="1" ht="22.5">
      <c r="A42" s="1000"/>
      <c r="C42" s="1682"/>
      <c r="D42" s="1684"/>
      <c r="E42" s="1710" t="s">
        <v>1789</v>
      </c>
      <c r="F42" s="1696" t="s">
        <v>1790</v>
      </c>
      <c r="G42" s="1689" t="s">
        <v>1718</v>
      </c>
      <c r="H42" s="565"/>
      <c r="I42" s="565"/>
      <c r="J42" s="4358"/>
      <c r="K42" s="4358"/>
      <c r="L42" s="4358"/>
      <c r="M42" s="551"/>
      <c r="N42" s="1682"/>
      <c r="O42" s="1682"/>
      <c r="T42" s="1682"/>
      <c r="W42" s="552"/>
      <c r="AC42" s="1678"/>
      <c r="AD42" s="1678"/>
      <c r="AE42" s="1678"/>
      <c r="AF42" s="1678"/>
      <c r="AG42" s="1678"/>
    </row>
    <row s="3159" customFormat="1" customHeight="1" ht="33.75">
      <c r="A43" s="1000"/>
      <c r="C43" s="1682" t="s">
        <v>1743</v>
      </c>
      <c r="D43" s="1684"/>
      <c r="E43" s="1710" t="s">
        <v>111</v>
      </c>
      <c r="F43" s="715" t="s">
        <v>1489</v>
      </c>
      <c r="G43" s="1692" t="s">
        <v>1791</v>
      </c>
      <c r="H43" s="408"/>
      <c r="I43" s="408"/>
      <c r="J43" s="4198"/>
      <c r="K43" s="4198"/>
      <c r="L43" s="4198"/>
      <c r="M43" s="551"/>
      <c r="N43" s="1682"/>
      <c r="O43" s="1682"/>
      <c r="T43" s="1682"/>
      <c r="W43" s="552"/>
      <c r="AC43" s="1678"/>
      <c r="AD43" s="1678"/>
      <c r="AE43" s="1678"/>
      <c r="AF43" s="1678"/>
      <c r="AG43" s="1678"/>
    </row>
    <row s="3159" customFormat="1" customHeight="1" ht="22.5">
      <c r="A44" s="1000"/>
      <c r="C44" s="1682"/>
      <c r="D44" s="1684"/>
      <c r="E44" s="1710" t="s">
        <v>92</v>
      </c>
      <c r="F44" s="715" t="s">
        <v>1792</v>
      </c>
      <c r="G44" s="1689" t="s">
        <v>1793</v>
      </c>
      <c r="H44" s="553"/>
      <c r="I44" s="553"/>
      <c r="J44" s="4345"/>
      <c r="K44" s="4345"/>
      <c r="L44" s="4345"/>
      <c r="M44" s="551"/>
      <c r="N44" s="1682"/>
      <c r="O44" s="1682"/>
      <c r="T44" s="1682"/>
      <c r="W44" s="552"/>
      <c r="AC44" s="1678"/>
      <c r="AD44" s="1678"/>
      <c r="AE44" s="1678"/>
      <c r="AF44" s="1678"/>
      <c r="AG44" s="1678"/>
    </row>
    <row s="3159" customFormat="1" customHeight="1" ht="22.5">
      <c r="A45" s="1000"/>
      <c r="C45" s="1682"/>
      <c r="D45" s="1684"/>
      <c r="E45" s="1710" t="s">
        <v>93</v>
      </c>
      <c r="F45" s="715" t="s">
        <v>1794</v>
      </c>
      <c r="G45" s="1700" t="s">
        <v>1795</v>
      </c>
      <c r="H45" s="553"/>
      <c r="I45" s="553"/>
      <c r="J45" s="4345"/>
      <c r="K45" s="4345"/>
      <c r="L45" s="4345"/>
      <c r="M45" s="551"/>
      <c r="N45" s="1682"/>
      <c r="O45" s="1682"/>
      <c r="T45" s="1682"/>
      <c r="W45" s="552"/>
      <c r="AC45" s="1678"/>
      <c r="AD45" s="1678"/>
      <c r="AE45" s="1678"/>
      <c r="AF45" s="1678"/>
      <c r="AG45" s="1678"/>
    </row>
    <row s="3159" customFormat="1" customHeight="1" ht="18.75">
      <c r="A46" s="1000"/>
      <c r="C46" s="1682"/>
      <c r="D46" s="1684"/>
      <c r="E46" s="1710" t="s">
        <v>112</v>
      </c>
      <c r="F46" s="715" t="s">
        <v>1796</v>
      </c>
      <c r="G46" s="1689" t="s">
        <v>1745</v>
      </c>
      <c r="H46" s="585"/>
      <c r="I46" s="585"/>
      <c r="J46" s="4385"/>
      <c r="K46" s="4385"/>
      <c r="L46" s="4385"/>
      <c r="M46" s="551"/>
      <c r="N46" s="1682"/>
      <c r="O46" s="1682"/>
      <c r="T46" s="1682"/>
      <c r="W46" s="552"/>
      <c r="AC46" s="1678"/>
      <c r="AD46" s="1678"/>
      <c r="AE46" s="1678"/>
      <c r="AF46" s="1678"/>
      <c r="AG46" s="1678"/>
    </row>
    <row customHeight="1" ht="11.25">
      <c r="D47" s="1684"/>
      <c r="J47" s="4122"/>
      <c r="K47" s="4122"/>
      <c r="L47" s="4122"/>
    </row>
    <row customHeight="1" ht="26.25">
      <c r="D48" s="1684"/>
      <c r="E48" s="1279"/>
      <c r="F48" s="2218"/>
      <c r="G48" s="2218"/>
      <c r="H48" s="2218"/>
      <c r="I48" s="2218"/>
      <c r="J48" s="4520"/>
      <c r="K48" s="4520"/>
      <c r="L48" s="4520"/>
    </row>
    <row s="4362" customFormat="1" customHeight="1" ht="37.5">
      <c r="A49" s="1000"/>
      <c r="B49" s="1682"/>
      <c r="C49" s="1682"/>
      <c r="D49" s="347"/>
      <c r="F49" s="2218"/>
      <c r="G49" s="2218"/>
      <c r="H49" s="2218"/>
      <c r="I49" s="2218"/>
      <c r="J49" s="4520"/>
      <c r="K49" s="4520"/>
      <c r="L49" s="4520"/>
      <c r="M49" s="1174"/>
      <c r="N49" s="1682"/>
      <c r="O49" s="1682"/>
      <c r="P49" s="1174"/>
      <c r="Q49" s="1174"/>
      <c r="R49" s="1174"/>
      <c r="S49" s="1174"/>
      <c r="T49" s="1682"/>
      <c r="U49" s="1174"/>
      <c r="V49" s="1174"/>
      <c r="W49" s="552"/>
      <c r="X49" s="1174"/>
      <c r="Y49" s="1174"/>
      <c r="Z49" s="1174"/>
      <c r="AA49" s="1174"/>
      <c r="AB49" s="1174"/>
      <c r="AC49" s="1678"/>
      <c r="AD49" s="574"/>
      <c r="AE49" s="574"/>
      <c r="AF49" s="574"/>
      <c r="AG49" s="574"/>
    </row>
    <row s="4362" customFormat="1" customHeight="1" ht="11.25">
      <c r="A50" s="1000"/>
      <c r="B50" s="1682"/>
      <c r="C50" s="1682"/>
      <c r="D50" s="347"/>
      <c r="J50" s="4461"/>
      <c r="K50" s="4461"/>
      <c r="L50" s="4461"/>
      <c r="M50" s="1174"/>
      <c r="N50" s="1682"/>
      <c r="O50" s="1682"/>
      <c r="P50" s="1174"/>
      <c r="Q50" s="1174"/>
      <c r="R50" s="1174"/>
      <c r="S50" s="1174"/>
      <c r="T50" s="1682"/>
      <c r="U50" s="1174"/>
      <c r="V50" s="1174"/>
      <c r="W50" s="552"/>
      <c r="X50" s="1174"/>
      <c r="Y50" s="1174"/>
      <c r="Z50" s="1174"/>
      <c r="AA50" s="1174"/>
      <c r="AB50" s="1174"/>
      <c r="AC50" s="1678"/>
      <c r="AD50" s="574"/>
      <c r="AE50" s="574"/>
      <c r="AF50" s="574"/>
      <c r="AG50" s="574"/>
    </row>
    <row s="4362" customFormat="1" customHeight="1" ht="11.25">
      <c r="A51" s="1000"/>
      <c r="B51" s="1682"/>
      <c r="C51" s="1682"/>
      <c r="D51" s="347"/>
      <c r="J51" s="4461"/>
      <c r="K51" s="4461"/>
      <c r="L51" s="4461"/>
      <c r="M51" s="1174"/>
      <c r="N51" s="1682"/>
      <c r="O51" s="1682"/>
      <c r="P51" s="1174"/>
      <c r="Q51" s="1174"/>
      <c r="R51" s="1174"/>
      <c r="S51" s="1174"/>
      <c r="T51" s="1682"/>
      <c r="U51" s="1174"/>
      <c r="V51" s="1174"/>
      <c r="W51" s="552"/>
      <c r="X51" s="1174"/>
      <c r="Y51" s="1174"/>
      <c r="Z51" s="1174"/>
      <c r="AA51" s="1174"/>
      <c r="AB51" s="1174"/>
      <c r="AC51" s="1678"/>
      <c r="AD51" s="574"/>
      <c r="AE51" s="574"/>
      <c r="AF51" s="574"/>
      <c r="AG51" s="574"/>
    </row>
    <row s="4362" customFormat="1" customHeight="1" ht="11.25">
      <c r="A52" s="1000"/>
      <c r="B52" s="1682"/>
      <c r="C52" s="1682"/>
      <c r="D52" s="347"/>
      <c r="H52" s="574"/>
      <c r="I52" s="574"/>
      <c r="J52" s="4462"/>
      <c r="K52" s="4462"/>
      <c r="L52" s="4462"/>
      <c r="M52" s="1174"/>
      <c r="N52" s="1682"/>
      <c r="O52" s="1682"/>
      <c r="P52" s="1174"/>
      <c r="Q52" s="1174"/>
      <c r="R52" s="1174"/>
      <c r="S52" s="1174"/>
      <c r="T52" s="1682"/>
      <c r="U52" s="1174"/>
      <c r="V52" s="1174"/>
      <c r="W52" s="552"/>
      <c r="X52" s="1174"/>
      <c r="Y52" s="1174"/>
      <c r="Z52" s="1174"/>
      <c r="AA52" s="1174"/>
      <c r="AB52" s="1174"/>
      <c r="AC52" s="1678"/>
      <c r="AD52" s="574"/>
      <c r="AE52" s="574"/>
      <c r="AF52" s="574"/>
      <c r="AG52" s="574"/>
    </row>
    <row s="4362" customFormat="1" customHeight="1" ht="11.25">
      <c r="A53" s="1000"/>
      <c r="B53" s="1682"/>
      <c r="C53" s="1682"/>
      <c r="D53" s="347"/>
      <c r="J53" s="4461"/>
      <c r="K53" s="4461"/>
      <c r="L53" s="4461"/>
      <c r="M53" s="1174"/>
      <c r="N53" s="1682"/>
      <c r="O53" s="1682"/>
      <c r="P53" s="1174"/>
      <c r="Q53" s="1174"/>
      <c r="R53" s="1174"/>
      <c r="S53" s="1174"/>
      <c r="T53" s="1682"/>
      <c r="U53" s="1174"/>
      <c r="V53" s="1174"/>
      <c r="W53" s="552"/>
      <c r="X53" s="1174"/>
      <c r="Y53" s="1174"/>
      <c r="Z53" s="1174"/>
      <c r="AA53" s="1174"/>
      <c r="AB53" s="1174"/>
      <c r="AC53" s="1678"/>
      <c r="AD53" s="574"/>
      <c r="AE53" s="574"/>
      <c r="AF53" s="574"/>
      <c r="AG53" s="574"/>
    </row>
    <row s="4362" customFormat="1" customHeight="1" ht="11.25">
      <c r="A54" s="1000"/>
      <c r="B54" s="1682"/>
      <c r="C54" s="1682"/>
      <c r="D54" s="347"/>
      <c r="J54" s="4461"/>
      <c r="K54" s="4461"/>
      <c r="L54" s="4461"/>
      <c r="M54" s="1174"/>
      <c r="N54" s="1682"/>
      <c r="O54" s="1682"/>
      <c r="P54" s="1174"/>
      <c r="Q54" s="1174"/>
      <c r="R54" s="1174"/>
      <c r="S54" s="1174"/>
      <c r="T54" s="1682"/>
      <c r="U54" s="1174"/>
      <c r="V54" s="1174"/>
      <c r="W54" s="552"/>
      <c r="X54" s="1174"/>
      <c r="Y54" s="1174"/>
      <c r="Z54" s="1174"/>
      <c r="AA54" s="1174"/>
      <c r="AB54" s="1174"/>
      <c r="AC54" s="1678"/>
      <c r="AD54" s="574"/>
      <c r="AE54" s="574"/>
      <c r="AF54" s="574"/>
      <c r="AG54" s="574"/>
    </row>
    <row s="4362" customFormat="1" customHeight="1" ht="11.25">
      <c r="A55" s="1000"/>
      <c r="B55" s="1682"/>
      <c r="C55" s="1682"/>
      <c r="D55" s="347"/>
      <c r="J55" s="4461"/>
      <c r="K55" s="4461"/>
      <c r="L55" s="4461"/>
      <c r="M55" s="1174"/>
      <c r="N55" s="1682"/>
      <c r="O55" s="1682"/>
      <c r="P55" s="1174"/>
      <c r="Q55" s="1174"/>
      <c r="R55" s="1174"/>
      <c r="S55" s="1174"/>
      <c r="T55" s="1682"/>
      <c r="U55" s="1174"/>
      <c r="V55" s="1174"/>
      <c r="W55" s="552"/>
      <c r="X55" s="1174"/>
      <c r="Y55" s="1174"/>
      <c r="Z55" s="1174"/>
      <c r="AA55" s="1174"/>
      <c r="AB55" s="1174"/>
      <c r="AC55" s="1678"/>
      <c r="AD55" s="574"/>
      <c r="AE55" s="574"/>
      <c r="AF55" s="574"/>
      <c r="AG55" s="574"/>
    </row>
    <row s="4362" customFormat="1" customHeight="1" ht="11.25">
      <c r="A56" s="1000"/>
      <c r="B56" s="1682"/>
      <c r="C56" s="1682"/>
      <c r="D56" s="347"/>
      <c r="J56" s="4461"/>
      <c r="K56" s="4461"/>
      <c r="L56" s="4461"/>
      <c r="M56" s="1174"/>
      <c r="N56" s="1682"/>
      <c r="O56" s="1682"/>
      <c r="P56" s="1174"/>
      <c r="Q56" s="1174"/>
      <c r="R56" s="1174"/>
      <c r="S56" s="1174"/>
      <c r="T56" s="1682"/>
      <c r="U56" s="1174"/>
      <c r="V56" s="1174"/>
      <c r="W56" s="552"/>
      <c r="X56" s="1174"/>
      <c r="Y56" s="1174"/>
      <c r="Z56" s="1174"/>
      <c r="AA56" s="1174"/>
      <c r="AB56" s="1174"/>
      <c r="AC56" s="1678"/>
      <c r="AD56" s="574"/>
      <c r="AE56" s="574"/>
      <c r="AF56" s="574"/>
      <c r="AG56" s="574"/>
    </row>
    <row s="4362" customFormat="1" customHeight="1" ht="11.25">
      <c r="A57" s="1000"/>
      <c r="B57" s="1682"/>
      <c r="C57" s="1682"/>
      <c r="D57" s="347"/>
      <c r="J57" s="4461"/>
      <c r="K57" s="4461"/>
      <c r="L57" s="4461"/>
      <c r="M57" s="1174"/>
      <c r="N57" s="1682"/>
      <c r="O57" s="1682"/>
      <c r="P57" s="1174"/>
      <c r="Q57" s="1174"/>
      <c r="R57" s="1174"/>
      <c r="S57" s="1174"/>
      <c r="T57" s="1682"/>
      <c r="U57" s="1174"/>
      <c r="V57" s="1174"/>
      <c r="W57" s="552"/>
      <c r="X57" s="1174"/>
      <c r="Y57" s="1174"/>
      <c r="Z57" s="1174"/>
      <c r="AA57" s="1174"/>
      <c r="AB57" s="1174"/>
      <c r="AC57" s="1678"/>
      <c r="AD57" s="574"/>
      <c r="AE57" s="574"/>
      <c r="AF57" s="574"/>
      <c r="AG57" s="574"/>
    </row>
    <row s="4362" customFormat="1" customHeight="1" ht="11.25">
      <c r="A58" s="1000"/>
      <c r="B58" s="1682"/>
      <c r="C58" s="1682"/>
      <c r="D58" s="347"/>
      <c r="J58" s="4461"/>
      <c r="K58" s="4461"/>
      <c r="L58" s="4461"/>
      <c r="M58" s="1174"/>
      <c r="N58" s="1682"/>
      <c r="O58" s="1682"/>
      <c r="P58" s="1174"/>
      <c r="Q58" s="1174"/>
      <c r="R58" s="1174"/>
      <c r="S58" s="1174"/>
      <c r="T58" s="1682"/>
      <c r="U58" s="1174"/>
      <c r="V58" s="1174"/>
      <c r="W58" s="552"/>
      <c r="X58" s="1174"/>
      <c r="Y58" s="1174"/>
      <c r="Z58" s="1174"/>
      <c r="AA58" s="1174"/>
      <c r="AB58" s="1174"/>
      <c r="AC58" s="1678"/>
      <c r="AD58" s="574"/>
      <c r="AE58" s="574"/>
      <c r="AF58" s="574"/>
      <c r="AG58" s="574"/>
    </row>
    <row s="4362" customFormat="1" customHeight="1" ht="11.25">
      <c r="A59" s="1000"/>
      <c r="B59" s="1682"/>
      <c r="C59" s="1682"/>
      <c r="D59" s="347"/>
      <c r="J59" s="4461"/>
      <c r="K59" s="4461"/>
      <c r="L59" s="4461"/>
      <c r="M59" s="1174"/>
      <c r="N59" s="1682"/>
      <c r="O59" s="1682"/>
      <c r="P59" s="1174"/>
      <c r="Q59" s="1174"/>
      <c r="R59" s="1174"/>
      <c r="S59" s="1174"/>
      <c r="T59" s="1682"/>
      <c r="U59" s="1174"/>
      <c r="V59" s="1174"/>
      <c r="W59" s="552"/>
      <c r="X59" s="1174"/>
      <c r="Y59" s="1174"/>
      <c r="Z59" s="1174"/>
      <c r="AA59" s="1174"/>
      <c r="AB59" s="1174"/>
      <c r="AC59" s="1678"/>
      <c r="AD59" s="574"/>
      <c r="AE59" s="574"/>
      <c r="AF59" s="574"/>
      <c r="AG59" s="574"/>
    </row>
    <row s="4362" customFormat="1" customHeight="1" ht="11.25">
      <c r="A60" s="1000"/>
      <c r="B60" s="1682"/>
      <c r="C60" s="1682"/>
      <c r="D60" s="347"/>
      <c r="J60" s="4461"/>
      <c r="K60" s="4461"/>
      <c r="L60" s="4461"/>
      <c r="M60" s="1174"/>
      <c r="N60" s="1682"/>
      <c r="O60" s="1682"/>
      <c r="P60" s="1174"/>
      <c r="Q60" s="1174"/>
      <c r="R60" s="1174"/>
      <c r="S60" s="1174"/>
      <c r="T60" s="1682"/>
      <c r="U60" s="1174"/>
      <c r="V60" s="1174"/>
      <c r="W60" s="552"/>
      <c r="X60" s="1174"/>
      <c r="Y60" s="1174"/>
      <c r="Z60" s="1174"/>
      <c r="AA60" s="1174"/>
      <c r="AB60" s="1174"/>
      <c r="AC60" s="1678"/>
      <c r="AD60" s="574"/>
      <c r="AE60" s="574"/>
      <c r="AF60" s="574"/>
      <c r="AG60" s="574"/>
    </row>
    <row s="4362" customFormat="1" customHeight="1" ht="11.25">
      <c r="A61" s="1000"/>
      <c r="B61" s="1682"/>
      <c r="C61" s="1682"/>
      <c r="D61" s="347"/>
      <c r="J61" s="4461"/>
      <c r="K61" s="4461"/>
      <c r="L61" s="4461"/>
      <c r="M61" s="1174"/>
      <c r="N61" s="1682"/>
      <c r="O61" s="1682"/>
      <c r="P61" s="1174"/>
      <c r="Q61" s="1174"/>
      <c r="R61" s="1174"/>
      <c r="S61" s="1174"/>
      <c r="T61" s="1682"/>
      <c r="U61" s="1174"/>
      <c r="V61" s="1174"/>
      <c r="W61" s="552"/>
      <c r="X61" s="1174"/>
      <c r="Y61" s="1174"/>
      <c r="Z61" s="1174"/>
      <c r="AA61" s="1174"/>
      <c r="AB61" s="1174"/>
      <c r="AC61" s="1678"/>
      <c r="AD61" s="574"/>
      <c r="AE61" s="574"/>
      <c r="AF61" s="574"/>
      <c r="AG61" s="574"/>
    </row>
    <row s="4362" customFormat="1" customHeight="1" ht="11.25">
      <c r="A62" s="1000"/>
      <c r="B62" s="1682"/>
      <c r="C62" s="1682"/>
      <c r="D62" s="347"/>
      <c r="J62" s="4461"/>
      <c r="K62" s="4461"/>
      <c r="L62" s="4461"/>
      <c r="M62" s="1174"/>
      <c r="N62" s="1682"/>
      <c r="O62" s="1682"/>
      <c r="P62" s="1174"/>
      <c r="Q62" s="1174"/>
      <c r="R62" s="1174"/>
      <c r="S62" s="1174"/>
      <c r="T62" s="1682"/>
      <c r="U62" s="1174"/>
      <c r="V62" s="1174"/>
      <c r="W62" s="552"/>
      <c r="X62" s="1174"/>
      <c r="Y62" s="1174"/>
      <c r="Z62" s="1174"/>
      <c r="AA62" s="1174"/>
      <c r="AB62" s="1174"/>
      <c r="AC62" s="1678"/>
      <c r="AD62" s="574"/>
      <c r="AE62" s="574"/>
      <c r="AF62" s="574"/>
      <c r="AG62" s="574"/>
    </row>
    <row s="4362" customFormat="1" customHeight="1" ht="11.25">
      <c r="A63" s="1000"/>
      <c r="B63" s="1682"/>
      <c r="C63" s="1682"/>
      <c r="D63" s="347"/>
      <c r="J63" s="4461"/>
      <c r="K63" s="4461"/>
      <c r="L63" s="4461"/>
      <c r="M63" s="1174"/>
      <c r="N63" s="1682"/>
      <c r="O63" s="1682"/>
      <c r="P63" s="1174"/>
      <c r="Q63" s="1174"/>
      <c r="R63" s="1174"/>
      <c r="S63" s="1174"/>
      <c r="T63" s="1682"/>
      <c r="U63" s="1174"/>
      <c r="V63" s="1174"/>
      <c r="W63" s="552"/>
      <c r="X63" s="1174"/>
      <c r="Y63" s="1174"/>
      <c r="Z63" s="1174"/>
      <c r="AA63" s="1174"/>
      <c r="AB63" s="1174"/>
      <c r="AC63" s="1678"/>
      <c r="AD63" s="574"/>
      <c r="AE63" s="574"/>
      <c r="AF63" s="574"/>
      <c r="AG63" s="574"/>
    </row>
    <row s="4362" customFormat="1" customHeight="1" ht="11.25">
      <c r="A64" s="1000"/>
      <c r="B64" s="1682"/>
      <c r="C64" s="1682"/>
      <c r="D64" s="347"/>
      <c r="J64" s="4461"/>
      <c r="K64" s="4461"/>
      <c r="L64" s="4461"/>
      <c r="M64" s="1174"/>
      <c r="N64" s="1682"/>
      <c r="O64" s="1682"/>
      <c r="P64" s="1174"/>
      <c r="Q64" s="1174"/>
      <c r="R64" s="1174"/>
      <c r="S64" s="1174"/>
      <c r="T64" s="1682"/>
      <c r="U64" s="1174"/>
      <c r="V64" s="1174"/>
      <c r="W64" s="552"/>
      <c r="X64" s="1174"/>
      <c r="Y64" s="1174"/>
      <c r="Z64" s="1174"/>
      <c r="AA64" s="1174"/>
      <c r="AB64" s="1174"/>
      <c r="AC64" s="1678"/>
      <c r="AD64" s="574"/>
      <c r="AE64" s="574"/>
      <c r="AF64" s="574"/>
      <c r="AG64" s="574"/>
    </row>
    <row s="4362" customFormat="1" customHeight="1" ht="11.25">
      <c r="A65" s="1000"/>
      <c r="B65" s="1682"/>
      <c r="C65" s="1682"/>
      <c r="D65" s="347"/>
      <c r="J65" s="4461"/>
      <c r="K65" s="4461"/>
      <c r="L65" s="4461"/>
      <c r="M65" s="1174"/>
      <c r="N65" s="1682"/>
      <c r="O65" s="1682"/>
      <c r="P65" s="1174"/>
      <c r="Q65" s="1174"/>
      <c r="R65" s="1174"/>
      <c r="S65" s="1174"/>
      <c r="T65" s="1682"/>
      <c r="U65" s="1174"/>
      <c r="V65" s="1174"/>
      <c r="W65" s="552"/>
      <c r="X65" s="1174"/>
      <c r="Y65" s="1174"/>
      <c r="Z65" s="1174"/>
      <c r="AA65" s="1174"/>
      <c r="AB65" s="1174"/>
      <c r="AC65" s="1678"/>
      <c r="AD65" s="574"/>
      <c r="AE65" s="574"/>
      <c r="AF65" s="574"/>
      <c r="AG65" s="574"/>
    </row>
    <row s="4362" customFormat="1" customHeight="1" ht="11.25">
      <c r="A66" s="1000"/>
      <c r="B66" s="1682"/>
      <c r="C66" s="1682"/>
      <c r="D66" s="347"/>
      <c r="J66" s="4461"/>
      <c r="K66" s="4461"/>
      <c r="L66" s="4461"/>
      <c r="M66" s="1174"/>
      <c r="N66" s="1682"/>
      <c r="O66" s="1682"/>
      <c r="P66" s="1174"/>
      <c r="Q66" s="1174"/>
      <c r="R66" s="1174"/>
      <c r="S66" s="1174"/>
      <c r="T66" s="1682"/>
      <c r="U66" s="1174"/>
      <c r="V66" s="1174"/>
      <c r="W66" s="552"/>
      <c r="X66" s="1174"/>
      <c r="Y66" s="1174"/>
      <c r="Z66" s="1174"/>
      <c r="AA66" s="1174"/>
      <c r="AB66" s="1174"/>
      <c r="AC66" s="1678"/>
      <c r="AD66" s="574"/>
      <c r="AE66" s="574"/>
      <c r="AF66" s="574"/>
      <c r="AG66" s="574"/>
    </row>
    <row s="4362" customFormat="1" customHeight="1" ht="11.25">
      <c r="A67" s="1000"/>
      <c r="B67" s="1682"/>
      <c r="C67" s="1682"/>
      <c r="D67" s="347"/>
      <c r="J67" s="4461"/>
      <c r="K67" s="4461"/>
      <c r="L67" s="4461"/>
      <c r="M67" s="1174"/>
      <c r="N67" s="1682"/>
      <c r="O67" s="1682"/>
      <c r="P67" s="1174"/>
      <c r="Q67" s="1174"/>
      <c r="R67" s="1174"/>
      <c r="S67" s="1174"/>
      <c r="T67" s="1682"/>
      <c r="U67" s="1174"/>
      <c r="V67" s="1174"/>
      <c r="W67" s="552"/>
      <c r="X67" s="1174"/>
      <c r="Y67" s="1174"/>
      <c r="Z67" s="1174"/>
      <c r="AA67" s="1174"/>
      <c r="AB67" s="1174"/>
      <c r="AC67" s="1678"/>
      <c r="AD67" s="574"/>
      <c r="AE67" s="574"/>
      <c r="AF67" s="574"/>
      <c r="AG67" s="574"/>
    </row>
    <row s="4362" customFormat="1" customHeight="1" ht="11.25">
      <c r="A68" s="1000"/>
      <c r="B68" s="1682"/>
      <c r="C68" s="1682"/>
      <c r="D68" s="347"/>
      <c r="J68" s="4461"/>
      <c r="K68" s="4461"/>
      <c r="L68" s="4461"/>
      <c r="M68" s="1174"/>
      <c r="N68" s="1682"/>
      <c r="O68" s="1682"/>
      <c r="P68" s="1174"/>
      <c r="Q68" s="1174"/>
      <c r="R68" s="1174"/>
      <c r="S68" s="1174"/>
      <c r="T68" s="1682"/>
      <c r="U68" s="1174"/>
      <c r="V68" s="1174"/>
      <c r="W68" s="552"/>
      <c r="X68" s="1174"/>
      <c r="Y68" s="1174"/>
      <c r="Z68" s="1174"/>
      <c r="AA68" s="1174"/>
      <c r="AB68" s="1174"/>
      <c r="AC68" s="1678"/>
      <c r="AD68" s="574"/>
      <c r="AE68" s="574"/>
      <c r="AF68" s="574"/>
      <c r="AG68" s="574"/>
    </row>
    <row s="4362" customFormat="1" customHeight="1" ht="11.25">
      <c r="A69" s="1000"/>
      <c r="B69" s="1682"/>
      <c r="C69" s="1682"/>
      <c r="D69" s="347"/>
      <c r="J69" s="4461"/>
      <c r="K69" s="4461"/>
      <c r="L69" s="4461"/>
      <c r="M69" s="1174"/>
      <c r="N69" s="1682"/>
      <c r="O69" s="1682"/>
      <c r="P69" s="1174"/>
      <c r="Q69" s="1174"/>
      <c r="R69" s="1174"/>
      <c r="S69" s="1174"/>
      <c r="T69" s="1682"/>
      <c r="U69" s="1174"/>
      <c r="V69" s="1174"/>
      <c r="W69" s="552"/>
      <c r="X69" s="1174"/>
      <c r="Y69" s="1174"/>
      <c r="Z69" s="1174"/>
      <c r="AA69" s="1174"/>
      <c r="AB69" s="1174"/>
      <c r="AC69" s="1678"/>
      <c r="AD69" s="574"/>
      <c r="AE69" s="574"/>
      <c r="AF69" s="574"/>
      <c r="AG69" s="574"/>
    </row>
    <row s="4362" customFormat="1" customHeight="1" ht="11.25">
      <c r="A70" s="1000"/>
      <c r="B70" s="1682"/>
      <c r="C70" s="1682"/>
      <c r="D70" s="347"/>
      <c r="J70" s="4461"/>
      <c r="K70" s="4461"/>
      <c r="L70" s="4461"/>
      <c r="M70" s="1174"/>
      <c r="N70" s="1682"/>
      <c r="O70" s="1682"/>
      <c r="P70" s="1174"/>
      <c r="Q70" s="1174"/>
      <c r="R70" s="1174"/>
      <c r="S70" s="1174"/>
      <c r="T70" s="1682"/>
      <c r="U70" s="1174"/>
      <c r="V70" s="1174"/>
      <c r="W70" s="552"/>
      <c r="X70" s="1174"/>
      <c r="Y70" s="1174"/>
      <c r="Z70" s="1174"/>
      <c r="AA70" s="1174"/>
      <c r="AB70" s="1174"/>
      <c r="AC70" s="1678"/>
      <c r="AD70" s="574"/>
      <c r="AE70" s="574"/>
      <c r="AF70" s="574"/>
      <c r="AG70" s="574"/>
    </row>
    <row s="4362" customFormat="1" customHeight="1" ht="11.25">
      <c r="A71" s="1000"/>
      <c r="B71" s="1682"/>
      <c r="C71" s="1682"/>
      <c r="D71" s="347"/>
      <c r="J71" s="4461"/>
      <c r="K71" s="4461"/>
      <c r="L71" s="4461"/>
      <c r="M71" s="1174"/>
      <c r="N71" s="1682"/>
      <c r="O71" s="1682"/>
      <c r="P71" s="1174"/>
      <c r="Q71" s="1174"/>
      <c r="R71" s="1174"/>
      <c r="S71" s="1174"/>
      <c r="T71" s="1682"/>
      <c r="U71" s="1174"/>
      <c r="V71" s="1174"/>
      <c r="W71" s="552"/>
      <c r="X71" s="1174"/>
      <c r="Y71" s="1174"/>
      <c r="Z71" s="1174"/>
      <c r="AA71" s="1174"/>
      <c r="AB71" s="1174"/>
      <c r="AC71" s="1678"/>
      <c r="AD71" s="574"/>
      <c r="AE71" s="574"/>
      <c r="AF71" s="574"/>
      <c r="AG71" s="574"/>
    </row>
    <row s="4362" customFormat="1" customHeight="1" ht="11.25">
      <c r="A72" s="1000"/>
      <c r="B72" s="1682"/>
      <c r="C72" s="1682"/>
      <c r="D72" s="347"/>
      <c r="J72" s="4461"/>
      <c r="K72" s="4461"/>
      <c r="L72" s="4461"/>
      <c r="M72" s="1174"/>
      <c r="N72" s="1682"/>
      <c r="O72" s="1682"/>
      <c r="P72" s="1174"/>
      <c r="Q72" s="1174"/>
      <c r="R72" s="1174"/>
      <c r="S72" s="1174"/>
      <c r="T72" s="1682"/>
      <c r="U72" s="1174"/>
      <c r="V72" s="1174"/>
      <c r="W72" s="552"/>
      <c r="X72" s="1174"/>
      <c r="Y72" s="1174"/>
      <c r="Z72" s="1174"/>
      <c r="AA72" s="1174"/>
      <c r="AB72" s="1174"/>
      <c r="AC72" s="1678"/>
      <c r="AD72" s="574"/>
      <c r="AE72" s="574"/>
      <c r="AF72" s="574"/>
      <c r="AG72" s="574"/>
    </row>
    <row s="4362" customFormat="1" customHeight="1" ht="11.25">
      <c r="A73" s="1000"/>
      <c r="B73" s="1682"/>
      <c r="C73" s="1682"/>
      <c r="D73" s="347"/>
      <c r="J73" s="4461"/>
      <c r="K73" s="4461"/>
      <c r="L73" s="4461"/>
      <c r="M73" s="1174"/>
      <c r="N73" s="1682"/>
      <c r="O73" s="1682"/>
      <c r="P73" s="1174"/>
      <c r="Q73" s="1174"/>
      <c r="R73" s="1174"/>
      <c r="S73" s="1174"/>
      <c r="T73" s="1682"/>
      <c r="U73" s="1174"/>
      <c r="V73" s="1174"/>
      <c r="W73" s="552"/>
      <c r="X73" s="1174"/>
      <c r="Y73" s="1174"/>
      <c r="Z73" s="1174"/>
      <c r="AA73" s="1174"/>
      <c r="AB73" s="1174"/>
      <c r="AC73" s="1678"/>
      <c r="AD73" s="574"/>
      <c r="AE73" s="574"/>
      <c r="AF73" s="574"/>
      <c r="AG73" s="574"/>
    </row>
    <row s="4362" customFormat="1" customHeight="1" ht="11.25">
      <c r="A74" s="1000"/>
      <c r="B74" s="1682"/>
      <c r="C74" s="1682"/>
      <c r="D74" s="347"/>
      <c r="J74" s="4461"/>
      <c r="K74" s="4461"/>
      <c r="L74" s="4461"/>
      <c r="M74" s="1174"/>
      <c r="N74" s="1682"/>
      <c r="O74" s="1682"/>
      <c r="P74" s="1174"/>
      <c r="Q74" s="1174"/>
      <c r="R74" s="1174"/>
      <c r="S74" s="1174"/>
      <c r="T74" s="1682"/>
      <c r="U74" s="1174"/>
      <c r="V74" s="1174"/>
      <c r="W74" s="552"/>
      <c r="X74" s="1174"/>
      <c r="Y74" s="1174"/>
      <c r="Z74" s="1174"/>
      <c r="AA74" s="1174"/>
      <c r="AB74" s="1174"/>
      <c r="AC74" s="1678"/>
      <c r="AD74" s="574"/>
      <c r="AE74" s="574"/>
      <c r="AF74" s="574"/>
      <c r="AG74" s="574"/>
    </row>
    <row s="4362" customFormat="1" customHeight="1" ht="11.25">
      <c r="A75" s="1000"/>
      <c r="B75" s="1682"/>
      <c r="C75" s="1682"/>
      <c r="D75" s="347"/>
      <c r="J75" s="4461"/>
      <c r="K75" s="4461"/>
      <c r="L75" s="4461"/>
      <c r="M75" s="1174"/>
      <c r="N75" s="1682"/>
      <c r="O75" s="1682"/>
      <c r="P75" s="1174"/>
      <c r="Q75" s="1174"/>
      <c r="R75" s="1174"/>
      <c r="S75" s="1174"/>
      <c r="T75" s="1682"/>
      <c r="U75" s="1174"/>
      <c r="V75" s="1174"/>
      <c r="W75" s="552"/>
      <c r="X75" s="1174"/>
      <c r="Y75" s="1174"/>
      <c r="Z75" s="1174"/>
      <c r="AA75" s="1174"/>
      <c r="AB75" s="1174"/>
      <c r="AC75" s="1678"/>
      <c r="AD75" s="574"/>
      <c r="AE75" s="574"/>
      <c r="AF75" s="574"/>
      <c r="AG75" s="574"/>
    </row>
    <row s="4362" customFormat="1" customHeight="1" ht="11.25">
      <c r="A76" s="1000"/>
      <c r="B76" s="1682"/>
      <c r="C76" s="1682"/>
      <c r="D76" s="347"/>
      <c r="J76" s="4461"/>
      <c r="K76" s="4461"/>
      <c r="L76" s="4461"/>
      <c r="M76" s="1174"/>
      <c r="N76" s="1682"/>
      <c r="O76" s="1682"/>
      <c r="P76" s="1174"/>
      <c r="Q76" s="1174"/>
      <c r="R76" s="1174"/>
      <c r="S76" s="1174"/>
      <c r="T76" s="1682"/>
      <c r="U76" s="1174"/>
      <c r="V76" s="1174"/>
      <c r="W76" s="552"/>
      <c r="X76" s="1174"/>
      <c r="Y76" s="1174"/>
      <c r="Z76" s="1174"/>
      <c r="AA76" s="1174"/>
      <c r="AB76" s="1174"/>
      <c r="AC76" s="1678"/>
      <c r="AD76" s="574"/>
      <c r="AE76" s="574"/>
      <c r="AF76" s="574"/>
      <c r="AG76" s="574"/>
    </row>
    <row s="4362" customFormat="1" customHeight="1" ht="11.25">
      <c r="A77" s="1000"/>
      <c r="B77" s="1682"/>
      <c r="C77" s="1682"/>
      <c r="D77" s="347"/>
      <c r="J77" s="4461"/>
      <c r="K77" s="4461"/>
      <c r="L77" s="4461"/>
      <c r="M77" s="1174"/>
      <c r="N77" s="1682"/>
      <c r="O77" s="1682"/>
      <c r="P77" s="1174"/>
      <c r="Q77" s="1174"/>
      <c r="R77" s="1174"/>
      <c r="S77" s="1174"/>
      <c r="T77" s="1682"/>
      <c r="U77" s="1174"/>
      <c r="V77" s="1174"/>
      <c r="W77" s="552"/>
      <c r="X77" s="1174"/>
      <c r="Y77" s="1174"/>
      <c r="Z77" s="1174"/>
      <c r="AA77" s="1174"/>
      <c r="AB77" s="1174"/>
      <c r="AC77" s="1678"/>
      <c r="AD77" s="574"/>
      <c r="AE77" s="574"/>
      <c r="AF77" s="574"/>
      <c r="AG77" s="574"/>
    </row>
    <row s="4362" customFormat="1" customHeight="1" ht="11.25">
      <c r="A78" s="1000"/>
      <c r="B78" s="1682"/>
      <c r="C78" s="1682"/>
      <c r="D78" s="347"/>
      <c r="J78" s="4461"/>
      <c r="K78" s="4461"/>
      <c r="L78" s="4461"/>
      <c r="M78" s="1174"/>
      <c r="N78" s="1682"/>
      <c r="O78" s="1682"/>
      <c r="P78" s="1174"/>
      <c r="Q78" s="1174"/>
      <c r="R78" s="1174"/>
      <c r="S78" s="1174"/>
      <c r="T78" s="1682"/>
      <c r="U78" s="1174"/>
      <c r="V78" s="1174"/>
      <c r="W78" s="552"/>
      <c r="X78" s="1174"/>
      <c r="Y78" s="1174"/>
      <c r="Z78" s="1174"/>
      <c r="AA78" s="1174"/>
      <c r="AB78" s="1174"/>
      <c r="AC78" s="1678"/>
      <c r="AD78" s="574"/>
      <c r="AE78" s="574"/>
      <c r="AF78" s="574"/>
      <c r="AG78" s="574"/>
    </row>
    <row s="4362" customFormat="1" customHeight="1" ht="11.25">
      <c r="A79" s="1000"/>
      <c r="B79" s="1682"/>
      <c r="C79" s="1682"/>
      <c r="D79" s="347"/>
      <c r="J79" s="4461"/>
      <c r="K79" s="4461"/>
      <c r="L79" s="4461"/>
      <c r="M79" s="1174"/>
      <c r="N79" s="1682"/>
      <c r="O79" s="1682"/>
      <c r="P79" s="1174"/>
      <c r="Q79" s="1174"/>
      <c r="R79" s="1174"/>
      <c r="S79" s="1174"/>
      <c r="T79" s="1682"/>
      <c r="U79" s="1174"/>
      <c r="V79" s="1174"/>
      <c r="W79" s="552"/>
      <c r="X79" s="1174"/>
      <c r="Y79" s="1174"/>
      <c r="Z79" s="1174"/>
      <c r="AA79" s="1174"/>
      <c r="AB79" s="1174"/>
      <c r="AC79" s="1678"/>
      <c r="AD79" s="574"/>
      <c r="AE79" s="574"/>
      <c r="AF79" s="574"/>
      <c r="AG79" s="574"/>
    </row>
    <row s="4362" customFormat="1" customHeight="1" ht="11.25">
      <c r="A80" s="1000"/>
      <c r="B80" s="1682"/>
      <c r="C80" s="1682"/>
      <c r="D80" s="347"/>
      <c r="J80" s="4461"/>
      <c r="K80" s="4461"/>
      <c r="L80" s="4461"/>
      <c r="M80" s="1174"/>
      <c r="N80" s="1682"/>
      <c r="O80" s="1682"/>
      <c r="P80" s="1174"/>
      <c r="Q80" s="1174"/>
      <c r="R80" s="1174"/>
      <c r="S80" s="1174"/>
      <c r="T80" s="1682"/>
      <c r="U80" s="1174"/>
      <c r="V80" s="1174"/>
      <c r="W80" s="552"/>
      <c r="X80" s="1174"/>
      <c r="Y80" s="1174"/>
      <c r="Z80" s="1174"/>
      <c r="AA80" s="1174"/>
      <c r="AB80" s="1174"/>
      <c r="AC80" s="1678"/>
      <c r="AD80" s="574"/>
      <c r="AE80" s="574"/>
      <c r="AF80" s="574"/>
      <c r="AG80" s="574"/>
    </row>
    <row s="4362" customFormat="1" customHeight="1" ht="11.25">
      <c r="A81" s="1000"/>
      <c r="B81" s="1682"/>
      <c r="C81" s="1682"/>
      <c r="D81" s="347"/>
      <c r="J81" s="4461"/>
      <c r="K81" s="4461"/>
      <c r="L81" s="4461"/>
      <c r="M81" s="1174"/>
      <c r="N81" s="1682"/>
      <c r="O81" s="1682"/>
      <c r="P81" s="1174"/>
      <c r="Q81" s="1174"/>
      <c r="R81" s="1174"/>
      <c r="S81" s="1174"/>
      <c r="T81" s="1682"/>
      <c r="U81" s="1174"/>
      <c r="V81" s="1174"/>
      <c r="W81" s="552"/>
      <c r="X81" s="1174"/>
      <c r="Y81" s="1174"/>
      <c r="Z81" s="1174"/>
      <c r="AA81" s="1174"/>
      <c r="AB81" s="1174"/>
      <c r="AC81" s="1678"/>
      <c r="AD81" s="574"/>
      <c r="AE81" s="574"/>
      <c r="AF81" s="574"/>
      <c r="AG81" s="574"/>
    </row>
    <row s="4362" customFormat="1" customHeight="1" ht="11.25">
      <c r="A82" s="1000"/>
      <c r="B82" s="1682"/>
      <c r="C82" s="1682"/>
      <c r="D82" s="347"/>
      <c r="J82" s="4461"/>
      <c r="K82" s="4461"/>
      <c r="L82" s="4461"/>
      <c r="M82" s="1174"/>
      <c r="N82" s="1682"/>
      <c r="O82" s="1682"/>
      <c r="P82" s="1174"/>
      <c r="Q82" s="1174"/>
      <c r="R82" s="1174"/>
      <c r="S82" s="1174"/>
      <c r="T82" s="1682"/>
      <c r="U82" s="1174"/>
      <c r="V82" s="1174"/>
      <c r="W82" s="552"/>
      <c r="X82" s="1174"/>
      <c r="Y82" s="1174"/>
      <c r="Z82" s="1174"/>
      <c r="AA82" s="1174"/>
      <c r="AB82" s="1174"/>
      <c r="AC82" s="1678"/>
      <c r="AD82" s="574"/>
      <c r="AE82" s="574"/>
      <c r="AF82" s="574"/>
      <c r="AG82" s="574"/>
    </row>
    <row s="4362" customFormat="1" customHeight="1" ht="11.25">
      <c r="A83" s="1000"/>
      <c r="B83" s="1682"/>
      <c r="C83" s="1682"/>
      <c r="D83" s="347"/>
      <c r="J83" s="4461"/>
      <c r="K83" s="4461"/>
      <c r="L83" s="4461"/>
      <c r="M83" s="1174"/>
      <c r="N83" s="1682"/>
      <c r="O83" s="1682"/>
      <c r="P83" s="1174"/>
      <c r="Q83" s="1174"/>
      <c r="R83" s="1174"/>
      <c r="S83" s="1174"/>
      <c r="T83" s="1682"/>
      <c r="U83" s="1174"/>
      <c r="V83" s="1174"/>
      <c r="W83" s="552"/>
      <c r="X83" s="1174"/>
      <c r="Y83" s="1174"/>
      <c r="Z83" s="1174"/>
      <c r="AA83" s="1174"/>
      <c r="AB83" s="1174"/>
      <c r="AC83" s="1678"/>
      <c r="AD83" s="574"/>
      <c r="AE83" s="574"/>
      <c r="AF83" s="574"/>
      <c r="AG83" s="574"/>
    </row>
    <row s="4362" customFormat="1" customHeight="1" ht="11.25">
      <c r="A84" s="1000"/>
      <c r="B84" s="1682"/>
      <c r="C84" s="1682"/>
      <c r="D84" s="347"/>
      <c r="J84" s="4461"/>
      <c r="K84" s="4461"/>
      <c r="L84" s="4461"/>
      <c r="M84" s="1174"/>
      <c r="N84" s="1682"/>
      <c r="O84" s="1682"/>
      <c r="P84" s="1174"/>
      <c r="Q84" s="1174"/>
      <c r="R84" s="1174"/>
      <c r="S84" s="1174"/>
      <c r="T84" s="1682"/>
      <c r="U84" s="1174"/>
      <c r="V84" s="1174"/>
      <c r="W84" s="552"/>
      <c r="X84" s="1174"/>
      <c r="Y84" s="1174"/>
      <c r="Z84" s="1174"/>
      <c r="AA84" s="1174"/>
      <c r="AB84" s="1174"/>
      <c r="AC84" s="1678"/>
      <c r="AD84" s="574"/>
      <c r="AE84" s="574"/>
      <c r="AF84" s="574"/>
      <c r="AG84" s="574"/>
    </row>
    <row s="4362" customFormat="1" customHeight="1" ht="11.25">
      <c r="A85" s="1000"/>
      <c r="B85" s="1682"/>
      <c r="C85" s="1682"/>
      <c r="D85" s="347"/>
      <c r="J85" s="4461"/>
      <c r="K85" s="4461"/>
      <c r="L85" s="4461"/>
      <c r="M85" s="1174"/>
      <c r="N85" s="1682"/>
      <c r="O85" s="1682"/>
      <c r="P85" s="1174"/>
      <c r="Q85" s="1174"/>
      <c r="R85" s="1174"/>
      <c r="S85" s="1174"/>
      <c r="T85" s="1682"/>
      <c r="U85" s="1174"/>
      <c r="V85" s="1174"/>
      <c r="W85" s="552"/>
      <c r="X85" s="1174"/>
      <c r="Y85" s="1174"/>
      <c r="Z85" s="1174"/>
      <c r="AA85" s="1174"/>
      <c r="AB85" s="1174"/>
      <c r="AC85" s="1678"/>
      <c r="AD85" s="574"/>
      <c r="AE85" s="574"/>
      <c r="AF85" s="574"/>
      <c r="AG85" s="574"/>
    </row>
    <row s="4362" customFormat="1" customHeight="1" ht="11.25">
      <c r="A86" s="1000"/>
      <c r="B86" s="1682"/>
      <c r="C86" s="1682"/>
      <c r="D86" s="347"/>
      <c r="J86" s="4461"/>
      <c r="K86" s="4461"/>
      <c r="L86" s="4461"/>
      <c r="M86" s="1174"/>
      <c r="N86" s="1682"/>
      <c r="O86" s="1682"/>
      <c r="P86" s="1174"/>
      <c r="Q86" s="1174"/>
      <c r="R86" s="1174"/>
      <c r="S86" s="1174"/>
      <c r="T86" s="1682"/>
      <c r="U86" s="1174"/>
      <c r="V86" s="1174"/>
      <c r="W86" s="552"/>
      <c r="X86" s="1174"/>
      <c r="Y86" s="1174"/>
      <c r="Z86" s="1174"/>
      <c r="AA86" s="1174"/>
      <c r="AB86" s="1174"/>
      <c r="AC86" s="1678"/>
      <c r="AD86" s="574"/>
      <c r="AE86" s="574"/>
      <c r="AF86" s="574"/>
      <c r="AG86" s="574"/>
    </row>
    <row s="4362" customFormat="1" customHeight="1" ht="11.25">
      <c r="A87" s="1000"/>
      <c r="B87" s="1682"/>
      <c r="C87" s="1682"/>
      <c r="D87" s="347"/>
      <c r="J87" s="4461"/>
      <c r="K87" s="4461"/>
      <c r="L87" s="4461"/>
      <c r="M87" s="1174"/>
      <c r="N87" s="1682"/>
      <c r="O87" s="1682"/>
      <c r="P87" s="1174"/>
      <c r="Q87" s="1174"/>
      <c r="R87" s="1174"/>
      <c r="S87" s="1174"/>
      <c r="T87" s="1682"/>
      <c r="U87" s="1174"/>
      <c r="V87" s="1174"/>
      <c r="W87" s="552"/>
      <c r="X87" s="1174"/>
      <c r="Y87" s="1174"/>
      <c r="Z87" s="1174"/>
      <c r="AA87" s="1174"/>
      <c r="AB87" s="1174"/>
      <c r="AC87" s="1678"/>
      <c r="AD87" s="574"/>
      <c r="AE87" s="574"/>
      <c r="AF87" s="574"/>
      <c r="AG87" s="574"/>
    </row>
    <row s="4362" customFormat="1" customHeight="1" ht="11.25">
      <c r="A88" s="1000"/>
      <c r="B88" s="1682"/>
      <c r="C88" s="1682"/>
      <c r="D88" s="347"/>
      <c r="J88" s="4461"/>
      <c r="K88" s="4461"/>
      <c r="L88" s="4461"/>
      <c r="M88" s="1174"/>
      <c r="N88" s="1682"/>
      <c r="O88" s="1682"/>
      <c r="P88" s="1174"/>
      <c r="Q88" s="1174"/>
      <c r="R88" s="1174"/>
      <c r="S88" s="1174"/>
      <c r="T88" s="1682"/>
      <c r="U88" s="1174"/>
      <c r="V88" s="1174"/>
      <c r="W88" s="552"/>
      <c r="X88" s="1174"/>
      <c r="Y88" s="1174"/>
      <c r="Z88" s="1174"/>
      <c r="AA88" s="1174"/>
      <c r="AB88" s="1174"/>
      <c r="AC88" s="1678"/>
      <c r="AD88" s="574"/>
      <c r="AE88" s="574"/>
      <c r="AF88" s="574"/>
      <c r="AG88" s="574"/>
    </row>
    <row s="4362" customFormat="1" customHeight="1" ht="11.25">
      <c r="A89" s="1000"/>
      <c r="B89" s="1682"/>
      <c r="C89" s="1682"/>
      <c r="D89" s="347"/>
      <c r="J89" s="4461"/>
      <c r="K89" s="4461"/>
      <c r="L89" s="4461"/>
      <c r="M89" s="1174"/>
      <c r="N89" s="1682"/>
      <c r="O89" s="1682"/>
      <c r="P89" s="1174"/>
      <c r="Q89" s="1174"/>
      <c r="R89" s="1174"/>
      <c r="S89" s="1174"/>
      <c r="T89" s="1682"/>
      <c r="U89" s="1174"/>
      <c r="V89" s="1174"/>
      <c r="W89" s="552"/>
      <c r="X89" s="1174"/>
      <c r="Y89" s="1174"/>
      <c r="Z89" s="1174"/>
      <c r="AA89" s="1174"/>
      <c r="AB89" s="1174"/>
      <c r="AC89" s="1678"/>
      <c r="AD89" s="574"/>
      <c r="AE89" s="574"/>
      <c r="AF89" s="574"/>
      <c r="AG89" s="574"/>
    </row>
    <row s="4362" customFormat="1" customHeight="1" ht="11.25">
      <c r="A90" s="1000"/>
      <c r="B90" s="1682"/>
      <c r="C90" s="1682"/>
      <c r="D90" s="347"/>
      <c r="J90" s="4461"/>
      <c r="K90" s="4461"/>
      <c r="L90" s="4461"/>
      <c r="M90" s="1174"/>
      <c r="N90" s="1682"/>
      <c r="O90" s="1682"/>
      <c r="P90" s="1174"/>
      <c r="Q90" s="1174"/>
      <c r="R90" s="1174"/>
      <c r="S90" s="1174"/>
      <c r="T90" s="1682"/>
      <c r="U90" s="1174"/>
      <c r="V90" s="1174"/>
      <c r="W90" s="552"/>
      <c r="X90" s="1174"/>
      <c r="Y90" s="1174"/>
      <c r="Z90" s="1174"/>
      <c r="AA90" s="1174"/>
      <c r="AB90" s="1174"/>
      <c r="AC90" s="1678"/>
      <c r="AD90" s="574"/>
      <c r="AE90" s="574"/>
      <c r="AF90" s="574"/>
      <c r="AG90" s="574"/>
    </row>
    <row s="4362" customFormat="1" customHeight="1" ht="11.25">
      <c r="A91" s="1000"/>
      <c r="B91" s="1682"/>
      <c r="C91" s="1682"/>
      <c r="D91" s="347"/>
      <c r="J91" s="4461"/>
      <c r="K91" s="4461"/>
      <c r="L91" s="4461"/>
      <c r="M91" s="1174"/>
      <c r="N91" s="1682"/>
      <c r="O91" s="1682"/>
      <c r="P91" s="1174"/>
      <c r="Q91" s="1174"/>
      <c r="R91" s="1174"/>
      <c r="S91" s="1174"/>
      <c r="T91" s="1682"/>
      <c r="U91" s="1174"/>
      <c r="V91" s="1174"/>
      <c r="W91" s="552"/>
      <c r="X91" s="1174"/>
      <c r="Y91" s="1174"/>
      <c r="Z91" s="1174"/>
      <c r="AA91" s="1174"/>
      <c r="AB91" s="1174"/>
      <c r="AC91" s="1678"/>
      <c r="AD91" s="574"/>
      <c r="AE91" s="574"/>
      <c r="AF91" s="574"/>
      <c r="AG91" s="574"/>
    </row>
    <row s="4362" customFormat="1" customHeight="1" ht="11.25">
      <c r="A92" s="1000"/>
      <c r="B92" s="1682"/>
      <c r="C92" s="1682"/>
      <c r="D92" s="347"/>
      <c r="J92" s="4461"/>
      <c r="K92" s="4461"/>
      <c r="L92" s="4461"/>
      <c r="M92" s="1174"/>
      <c r="N92" s="1682"/>
      <c r="O92" s="1682"/>
      <c r="P92" s="1174"/>
      <c r="Q92" s="1174"/>
      <c r="R92" s="1174"/>
      <c r="S92" s="1174"/>
      <c r="T92" s="1682"/>
      <c r="U92" s="1174"/>
      <c r="V92" s="1174"/>
      <c r="W92" s="552"/>
      <c r="X92" s="1174"/>
      <c r="Y92" s="1174"/>
      <c r="Z92" s="1174"/>
      <c r="AA92" s="1174"/>
      <c r="AB92" s="1174"/>
      <c r="AC92" s="1678"/>
      <c r="AD92" s="574"/>
      <c r="AE92" s="574"/>
      <c r="AF92" s="574"/>
      <c r="AG92" s="574"/>
    </row>
    <row s="4362" customFormat="1" customHeight="1" ht="11.25">
      <c r="A93" s="1000"/>
      <c r="B93" s="1682"/>
      <c r="C93" s="1682"/>
      <c r="D93" s="347"/>
      <c r="J93" s="4461"/>
      <c r="K93" s="4461"/>
      <c r="L93" s="4461"/>
      <c r="M93" s="1174"/>
      <c r="N93" s="1682"/>
      <c r="O93" s="1682"/>
      <c r="P93" s="1174"/>
      <c r="Q93" s="1174"/>
      <c r="R93" s="1174"/>
      <c r="S93" s="1174"/>
      <c r="T93" s="1682"/>
      <c r="U93" s="1174"/>
      <c r="V93" s="1174"/>
      <c r="W93" s="552"/>
      <c r="X93" s="1174"/>
      <c r="Y93" s="1174"/>
      <c r="Z93" s="1174"/>
      <c r="AA93" s="1174"/>
      <c r="AB93" s="1174"/>
      <c r="AC93" s="1678"/>
      <c r="AD93" s="574"/>
      <c r="AE93" s="574"/>
      <c r="AF93" s="574"/>
      <c r="AG93" s="574"/>
    </row>
    <row s="4362" customFormat="1" customHeight="1" ht="11.25">
      <c r="A94" s="1000"/>
      <c r="B94" s="1682"/>
      <c r="C94" s="1682"/>
      <c r="D94" s="347"/>
      <c r="J94" s="4461"/>
      <c r="K94" s="4461"/>
      <c r="L94" s="4461"/>
      <c r="M94" s="1174"/>
      <c r="N94" s="1682"/>
      <c r="O94" s="1682"/>
      <c r="P94" s="1174"/>
      <c r="Q94" s="1174"/>
      <c r="R94" s="1174"/>
      <c r="S94" s="1174"/>
      <c r="T94" s="1682"/>
      <c r="U94" s="1174"/>
      <c r="V94" s="1174"/>
      <c r="W94" s="552"/>
      <c r="X94" s="1174"/>
      <c r="Y94" s="1174"/>
      <c r="Z94" s="1174"/>
      <c r="AA94" s="1174"/>
      <c r="AB94" s="1174"/>
      <c r="AC94" s="1678"/>
      <c r="AD94" s="574"/>
      <c r="AE94" s="574"/>
      <c r="AF94" s="574"/>
      <c r="AG94" s="574"/>
    </row>
    <row s="4362" customFormat="1" customHeight="1" ht="11.25">
      <c r="A95" s="1000"/>
      <c r="B95" s="1682"/>
      <c r="C95" s="1682"/>
      <c r="D95" s="347"/>
      <c r="J95" s="4461"/>
      <c r="K95" s="4461"/>
      <c r="L95" s="4461"/>
      <c r="M95" s="1174"/>
      <c r="N95" s="1682"/>
      <c r="O95" s="1682"/>
      <c r="P95" s="1174"/>
      <c r="Q95" s="1174"/>
      <c r="R95" s="1174"/>
      <c r="S95" s="1174"/>
      <c r="T95" s="1682"/>
      <c r="U95" s="1174"/>
      <c r="V95" s="1174"/>
      <c r="W95" s="552"/>
      <c r="X95" s="1174"/>
      <c r="Y95" s="1174"/>
      <c r="Z95" s="1174"/>
      <c r="AA95" s="1174"/>
      <c r="AB95" s="1174"/>
      <c r="AC95" s="1678"/>
      <c r="AD95" s="574"/>
      <c r="AE95" s="574"/>
      <c r="AF95" s="574"/>
      <c r="AG95" s="574"/>
    </row>
    <row s="4362" customFormat="1" customHeight="1" ht="11.25">
      <c r="A96" s="1000"/>
      <c r="B96" s="1682"/>
      <c r="C96" s="1682"/>
      <c r="D96" s="347"/>
      <c r="J96" s="4461"/>
      <c r="K96" s="4461"/>
      <c r="L96" s="4461"/>
      <c r="M96" s="1174"/>
      <c r="N96" s="1682"/>
      <c r="O96" s="1682"/>
      <c r="P96" s="1174"/>
      <c r="Q96" s="1174"/>
      <c r="R96" s="1174"/>
      <c r="S96" s="1174"/>
      <c r="T96" s="1682"/>
      <c r="U96" s="1174"/>
      <c r="V96" s="1174"/>
      <c r="W96" s="552"/>
      <c r="X96" s="1174"/>
      <c r="Y96" s="1174"/>
      <c r="Z96" s="1174"/>
      <c r="AA96" s="1174"/>
      <c r="AB96" s="1174"/>
      <c r="AC96" s="1678"/>
      <c r="AD96" s="574"/>
      <c r="AE96" s="574"/>
      <c r="AF96" s="574"/>
      <c r="AG96" s="574"/>
    </row>
    <row s="4362" customFormat="1" customHeight="1" ht="11.25">
      <c r="A97" s="1000"/>
      <c r="B97" s="1682"/>
      <c r="C97" s="1682"/>
      <c r="D97" s="347"/>
      <c r="J97" s="4461"/>
      <c r="K97" s="4461"/>
      <c r="L97" s="4461"/>
      <c r="M97" s="1174"/>
      <c r="N97" s="1682"/>
      <c r="O97" s="1682"/>
      <c r="P97" s="1174"/>
      <c r="Q97" s="1174"/>
      <c r="R97" s="1174"/>
      <c r="S97" s="1174"/>
      <c r="T97" s="1682"/>
      <c r="U97" s="1174"/>
      <c r="V97" s="1174"/>
      <c r="W97" s="552"/>
      <c r="X97" s="1174"/>
      <c r="Y97" s="1174"/>
      <c r="Z97" s="1174"/>
      <c r="AA97" s="1174"/>
      <c r="AB97" s="1174"/>
      <c r="AC97" s="1678"/>
      <c r="AD97" s="574"/>
      <c r="AE97" s="574"/>
      <c r="AF97" s="574"/>
      <c r="AG97" s="574"/>
    </row>
    <row s="4362" customFormat="1" customHeight="1" ht="11.25">
      <c r="A98" s="1000"/>
      <c r="B98" s="1682"/>
      <c r="C98" s="1682"/>
      <c r="D98" s="347"/>
      <c r="J98" s="4461"/>
      <c r="K98" s="4461"/>
      <c r="L98" s="4461"/>
      <c r="M98" s="1174"/>
      <c r="N98" s="1682"/>
      <c r="O98" s="1682"/>
      <c r="P98" s="1174"/>
      <c r="Q98" s="1174"/>
      <c r="R98" s="1174"/>
      <c r="S98" s="1174"/>
      <c r="T98" s="1682"/>
      <c r="U98" s="1174"/>
      <c r="V98" s="1174"/>
      <c r="W98" s="552"/>
      <c r="X98" s="1174"/>
      <c r="Y98" s="1174"/>
      <c r="Z98" s="1174"/>
      <c r="AA98" s="1174"/>
      <c r="AB98" s="1174"/>
      <c r="AC98" s="1678"/>
      <c r="AD98" s="574"/>
      <c r="AE98" s="574"/>
      <c r="AF98" s="574"/>
      <c r="AG98" s="574"/>
    </row>
    <row s="4362" customFormat="1" customHeight="1" ht="11.25">
      <c r="A99" s="1000"/>
      <c r="B99" s="1682"/>
      <c r="C99" s="1682"/>
      <c r="D99" s="347"/>
      <c r="J99" s="4461"/>
      <c r="K99" s="4461"/>
      <c r="L99" s="4461"/>
      <c r="M99" s="1174"/>
      <c r="N99" s="1682"/>
      <c r="O99" s="1682"/>
      <c r="P99" s="1174"/>
      <c r="Q99" s="1174"/>
      <c r="R99" s="1174"/>
      <c r="S99" s="1174"/>
      <c r="T99" s="1682"/>
      <c r="U99" s="1174"/>
      <c r="V99" s="1174"/>
      <c r="W99" s="552"/>
      <c r="X99" s="1174"/>
      <c r="Y99" s="1174"/>
      <c r="Z99" s="1174"/>
      <c r="AA99" s="1174"/>
      <c r="AB99" s="1174"/>
      <c r="AC99" s="1678"/>
      <c r="AD99" s="574"/>
      <c r="AE99" s="574"/>
      <c r="AF99" s="574"/>
      <c r="AG99" s="574"/>
    </row>
    <row s="4362" customFormat="1" customHeight="1" ht="11.25">
      <c r="A100" s="1000"/>
      <c r="B100" s="1682"/>
      <c r="C100" s="1682"/>
      <c r="D100" s="347"/>
      <c r="J100" s="4461"/>
      <c r="K100" s="4461"/>
      <c r="L100" s="4461"/>
      <c r="M100" s="1174"/>
      <c r="N100" s="1682"/>
      <c r="O100" s="1682"/>
      <c r="P100" s="1174"/>
      <c r="Q100" s="1174"/>
      <c r="R100" s="1174"/>
      <c r="S100" s="1174"/>
      <c r="T100" s="1682"/>
      <c r="U100" s="1174"/>
      <c r="V100" s="1174"/>
      <c r="W100" s="552"/>
      <c r="X100" s="1174"/>
      <c r="Y100" s="1174"/>
      <c r="Z100" s="1174"/>
      <c r="AA100" s="1174"/>
      <c r="AB100" s="1174"/>
      <c r="AC100" s="1678"/>
      <c r="AD100" s="574"/>
      <c r="AE100" s="574"/>
      <c r="AF100" s="574"/>
      <c r="AG100" s="574"/>
    </row>
    <row s="4362" customFormat="1" customHeight="1" ht="11.25">
      <c r="A101" s="1000"/>
      <c r="B101" s="1682"/>
      <c r="C101" s="1682"/>
      <c r="D101" s="347"/>
      <c r="J101" s="4461"/>
      <c r="K101" s="4461"/>
      <c r="L101" s="4461"/>
      <c r="M101" s="1174"/>
      <c r="N101" s="1682"/>
      <c r="O101" s="1682"/>
      <c r="P101" s="1174"/>
      <c r="Q101" s="1174"/>
      <c r="R101" s="1174"/>
      <c r="S101" s="1174"/>
      <c r="T101" s="1682"/>
      <c r="U101" s="1174"/>
      <c r="V101" s="1174"/>
      <c r="W101" s="552"/>
      <c r="X101" s="1174"/>
      <c r="Y101" s="1174"/>
      <c r="Z101" s="1174"/>
      <c r="AA101" s="1174"/>
      <c r="AB101" s="1174"/>
      <c r="AC101" s="1678"/>
      <c r="AD101" s="574"/>
      <c r="AE101" s="574"/>
      <c r="AF101" s="574"/>
      <c r="AG101" s="574"/>
    </row>
    <row s="4362" customFormat="1" customHeight="1" ht="11.25">
      <c r="A102" s="1000"/>
      <c r="B102" s="1682"/>
      <c r="C102" s="1682"/>
      <c r="D102" s="347"/>
      <c r="J102" s="4461"/>
      <c r="K102" s="4461"/>
      <c r="L102" s="4461"/>
      <c r="M102" s="1174"/>
      <c r="N102" s="1682"/>
      <c r="O102" s="1682"/>
      <c r="P102" s="1174"/>
      <c r="Q102" s="1174"/>
      <c r="R102" s="1174"/>
      <c r="S102" s="1174"/>
      <c r="T102" s="1682"/>
      <c r="U102" s="1174"/>
      <c r="V102" s="1174"/>
      <c r="W102" s="552"/>
      <c r="X102" s="1174"/>
      <c r="Y102" s="1174"/>
      <c r="Z102" s="1174"/>
      <c r="AA102" s="1174"/>
      <c r="AB102" s="1174"/>
      <c r="AC102" s="1678"/>
      <c r="AD102" s="574"/>
      <c r="AE102" s="574"/>
      <c r="AF102" s="574"/>
      <c r="AG102" s="574"/>
    </row>
    <row s="4362" customFormat="1" customHeight="1" ht="11.25">
      <c r="A103" s="1000"/>
      <c r="B103" s="1682"/>
      <c r="C103" s="1682"/>
      <c r="D103" s="347"/>
      <c r="J103" s="4461"/>
      <c r="K103" s="4461"/>
      <c r="L103" s="4461"/>
      <c r="M103" s="1174"/>
      <c r="N103" s="1682"/>
      <c r="O103" s="1682"/>
      <c r="P103" s="1174"/>
      <c r="Q103" s="1174"/>
      <c r="R103" s="1174"/>
      <c r="S103" s="1174"/>
      <c r="T103" s="1682"/>
      <c r="U103" s="1174"/>
      <c r="V103" s="1174"/>
      <c r="W103" s="552"/>
      <c r="X103" s="1174"/>
      <c r="Y103" s="1174"/>
      <c r="Z103" s="1174"/>
      <c r="AA103" s="1174"/>
      <c r="AB103" s="1174"/>
      <c r="AC103" s="1678"/>
      <c r="AD103" s="574"/>
      <c r="AE103" s="574"/>
      <c r="AF103" s="574"/>
      <c r="AG103" s="574"/>
    </row>
    <row s="4362" customFormat="1" customHeight="1" ht="11.25">
      <c r="A104" s="1000"/>
      <c r="B104" s="1682"/>
      <c r="C104" s="1682"/>
      <c r="D104" s="347"/>
      <c r="J104" s="4461"/>
      <c r="K104" s="4461"/>
      <c r="L104" s="4461"/>
      <c r="M104" s="1174"/>
      <c r="N104" s="1682"/>
      <c r="O104" s="1682"/>
      <c r="P104" s="1174"/>
      <c r="Q104" s="1174"/>
      <c r="R104" s="1174"/>
      <c r="S104" s="1174"/>
      <c r="T104" s="1682"/>
      <c r="U104" s="1174"/>
      <c r="V104" s="1174"/>
      <c r="W104" s="552"/>
      <c r="X104" s="1174"/>
      <c r="Y104" s="1174"/>
      <c r="Z104" s="1174"/>
      <c r="AA104" s="1174"/>
      <c r="AB104" s="1174"/>
      <c r="AC104" s="1678"/>
      <c r="AD104" s="574"/>
      <c r="AE104" s="574"/>
      <c r="AF104" s="574"/>
      <c r="AG104" s="574"/>
    </row>
    <row s="4362" customFormat="1" customHeight="1" ht="11.25">
      <c r="A105" s="1000"/>
      <c r="B105" s="1682"/>
      <c r="C105" s="1682"/>
      <c r="D105" s="347"/>
      <c r="J105" s="4461"/>
      <c r="K105" s="4461"/>
      <c r="L105" s="4461"/>
      <c r="M105" s="1174"/>
      <c r="N105" s="1682"/>
      <c r="O105" s="1682"/>
      <c r="P105" s="1174"/>
      <c r="Q105" s="1174"/>
      <c r="R105" s="1174"/>
      <c r="S105" s="1174"/>
      <c r="T105" s="1682"/>
      <c r="U105" s="1174"/>
      <c r="V105" s="1174"/>
      <c r="W105" s="552"/>
      <c r="X105" s="1174"/>
      <c r="Y105" s="1174"/>
      <c r="Z105" s="1174"/>
      <c r="AA105" s="1174"/>
      <c r="AB105" s="1174"/>
      <c r="AC105" s="1678"/>
      <c r="AD105" s="574"/>
      <c r="AE105" s="574"/>
      <c r="AF105" s="574"/>
      <c r="AG105" s="574"/>
    </row>
    <row s="4362" customFormat="1" customHeight="1" ht="11.25">
      <c r="A106" s="1000"/>
      <c r="B106" s="1682"/>
      <c r="C106" s="1682"/>
      <c r="D106" s="347"/>
      <c r="J106" s="4461"/>
      <c r="K106" s="4461"/>
      <c r="L106" s="4461"/>
      <c r="M106" s="1174"/>
      <c r="N106" s="1682"/>
      <c r="O106" s="1682"/>
      <c r="P106" s="1174"/>
      <c r="Q106" s="1174"/>
      <c r="R106" s="1174"/>
      <c r="S106" s="1174"/>
      <c r="T106" s="1682"/>
      <c r="U106" s="1174"/>
      <c r="V106" s="1174"/>
      <c r="W106" s="552"/>
      <c r="X106" s="1174"/>
      <c r="Y106" s="1174"/>
      <c r="Z106" s="1174"/>
      <c r="AA106" s="1174"/>
      <c r="AB106" s="1174"/>
      <c r="AC106" s="1678"/>
      <c r="AD106" s="574"/>
      <c r="AE106" s="574"/>
      <c r="AF106" s="574"/>
      <c r="AG106" s="574"/>
    </row>
    <row s="4362" customFormat="1" customHeight="1" ht="11.25">
      <c r="A107" s="1000"/>
      <c r="B107" s="1682"/>
      <c r="C107" s="1682"/>
      <c r="D107" s="347"/>
      <c r="J107" s="4461"/>
      <c r="K107" s="4461"/>
      <c r="L107" s="4461"/>
      <c r="M107" s="1174"/>
      <c r="N107" s="1682"/>
      <c r="O107" s="1682"/>
      <c r="P107" s="1174"/>
      <c r="Q107" s="1174"/>
      <c r="R107" s="1174"/>
      <c r="S107" s="1174"/>
      <c r="T107" s="1682"/>
      <c r="U107" s="1174"/>
      <c r="V107" s="1174"/>
      <c r="W107" s="552"/>
      <c r="X107" s="1174"/>
      <c r="Y107" s="1174"/>
      <c r="Z107" s="1174"/>
      <c r="AA107" s="1174"/>
      <c r="AB107" s="1174"/>
      <c r="AC107" s="1678"/>
      <c r="AD107" s="574"/>
      <c r="AE107" s="574"/>
      <c r="AF107" s="574"/>
      <c r="AG107" s="574"/>
    </row>
    <row s="4362" customFormat="1" customHeight="1" ht="11.25">
      <c r="A108" s="1000"/>
      <c r="B108" s="1682"/>
      <c r="C108" s="1682"/>
      <c r="D108" s="347"/>
      <c r="J108" s="4461"/>
      <c r="K108" s="4461"/>
      <c r="L108" s="4461"/>
      <c r="M108" s="1174"/>
      <c r="N108" s="1682"/>
      <c r="O108" s="1682"/>
      <c r="P108" s="1174"/>
      <c r="Q108" s="1174"/>
      <c r="R108" s="1174"/>
      <c r="S108" s="1174"/>
      <c r="T108" s="1682"/>
      <c r="U108" s="1174"/>
      <c r="V108" s="1174"/>
      <c r="W108" s="552"/>
      <c r="X108" s="1174"/>
      <c r="Y108" s="1174"/>
      <c r="Z108" s="1174"/>
      <c r="AA108" s="1174"/>
      <c r="AB108" s="1174"/>
      <c r="AC108" s="1678"/>
      <c r="AD108" s="574"/>
      <c r="AE108" s="574"/>
      <c r="AF108" s="574"/>
      <c r="AG108" s="574"/>
    </row>
    <row s="4362" customFormat="1" customHeight="1" ht="11.25">
      <c r="A109" s="1000"/>
      <c r="B109" s="1682"/>
      <c r="C109" s="1682"/>
      <c r="D109" s="347"/>
      <c r="J109" s="4461"/>
      <c r="K109" s="4461"/>
      <c r="L109" s="4461"/>
      <c r="M109" s="1174"/>
      <c r="N109" s="1682"/>
      <c r="O109" s="1682"/>
      <c r="P109" s="1174"/>
      <c r="Q109" s="1174"/>
      <c r="R109" s="1174"/>
      <c r="S109" s="1174"/>
      <c r="T109" s="1682"/>
      <c r="U109" s="1174"/>
      <c r="V109" s="1174"/>
      <c r="W109" s="552"/>
      <c r="X109" s="1174"/>
      <c r="Y109" s="1174"/>
      <c r="Z109" s="1174"/>
      <c r="AA109" s="1174"/>
      <c r="AB109" s="1174"/>
      <c r="AC109" s="1678"/>
      <c r="AD109" s="574"/>
      <c r="AE109" s="574"/>
      <c r="AF109" s="574"/>
      <c r="AG109" s="574"/>
    </row>
    <row s="4362" customFormat="1" customHeight="1" ht="11.25">
      <c r="A110" s="1000"/>
      <c r="B110" s="1682"/>
      <c r="C110" s="1682"/>
      <c r="D110" s="347"/>
      <c r="J110" s="4461"/>
      <c r="K110" s="4461"/>
      <c r="L110" s="4461"/>
      <c r="M110" s="1174"/>
      <c r="N110" s="1682"/>
      <c r="O110" s="1682"/>
      <c r="P110" s="1174"/>
      <c r="Q110" s="1174"/>
      <c r="R110" s="1174"/>
      <c r="S110" s="1174"/>
      <c r="T110" s="1682"/>
      <c r="U110" s="1174"/>
      <c r="V110" s="1174"/>
      <c r="W110" s="552"/>
      <c r="X110" s="1174"/>
      <c r="Y110" s="1174"/>
      <c r="Z110" s="1174"/>
      <c r="AA110" s="1174"/>
      <c r="AB110" s="1174"/>
      <c r="AC110" s="1678"/>
      <c r="AD110" s="574"/>
      <c r="AE110" s="574"/>
      <c r="AF110" s="574"/>
      <c r="AG110" s="574"/>
    </row>
    <row s="4362" customFormat="1" customHeight="1" ht="11.25">
      <c r="A111" s="1000"/>
      <c r="B111" s="1682"/>
      <c r="C111" s="1682"/>
      <c r="D111" s="347"/>
      <c r="J111" s="4461"/>
      <c r="K111" s="4461"/>
      <c r="L111" s="4461"/>
      <c r="M111" s="1174"/>
      <c r="N111" s="1682"/>
      <c r="O111" s="1682"/>
      <c r="P111" s="1174"/>
      <c r="Q111" s="1174"/>
      <c r="R111" s="1174"/>
      <c r="S111" s="1174"/>
      <c r="T111" s="1682"/>
      <c r="U111" s="1174"/>
      <c r="V111" s="1174"/>
      <c r="W111" s="552"/>
      <c r="X111" s="1174"/>
      <c r="Y111" s="1174"/>
      <c r="Z111" s="1174"/>
      <c r="AA111" s="1174"/>
      <c r="AB111" s="1174"/>
      <c r="AC111" s="1678"/>
      <c r="AD111" s="574"/>
      <c r="AE111" s="574"/>
      <c r="AF111" s="574"/>
      <c r="AG111" s="574"/>
    </row>
    <row s="4362" customFormat="1" customHeight="1" ht="11.25">
      <c r="A112" s="1000"/>
      <c r="B112" s="1682"/>
      <c r="C112" s="1682"/>
      <c r="D112" s="347"/>
      <c r="J112" s="4461"/>
      <c r="K112" s="4461"/>
      <c r="L112" s="4461"/>
      <c r="M112" s="1174"/>
      <c r="N112" s="1682"/>
      <c r="O112" s="1682"/>
      <c r="P112" s="1174"/>
      <c r="Q112" s="1174"/>
      <c r="R112" s="1174"/>
      <c r="S112" s="1174"/>
      <c r="T112" s="1682"/>
      <c r="U112" s="1174"/>
      <c r="V112" s="1174"/>
      <c r="W112" s="552"/>
      <c r="X112" s="1174"/>
      <c r="Y112" s="1174"/>
      <c r="Z112" s="1174"/>
      <c r="AA112" s="1174"/>
      <c r="AB112" s="1174"/>
      <c r="AC112" s="1678"/>
      <c r="AD112" s="574"/>
      <c r="AE112" s="574"/>
      <c r="AF112" s="574"/>
      <c r="AG112" s="574"/>
    </row>
    <row s="4362" customFormat="1" customHeight="1" ht="11.25">
      <c r="A113" s="1000"/>
      <c r="B113" s="1682"/>
      <c r="C113" s="1682"/>
      <c r="D113" s="347"/>
      <c r="J113" s="4461"/>
      <c r="K113" s="4461"/>
      <c r="L113" s="4461"/>
      <c r="M113" s="1174"/>
      <c r="N113" s="1682"/>
      <c r="O113" s="1682"/>
      <c r="P113" s="1174"/>
      <c r="Q113" s="1174"/>
      <c r="R113" s="1174"/>
      <c r="S113" s="1174"/>
      <c r="T113" s="1682"/>
      <c r="U113" s="1174"/>
      <c r="V113" s="1174"/>
      <c r="W113" s="552"/>
      <c r="X113" s="1174"/>
      <c r="Y113" s="1174"/>
      <c r="Z113" s="1174"/>
      <c r="AA113" s="1174"/>
      <c r="AB113" s="1174"/>
      <c r="AC113" s="1678"/>
      <c r="AD113" s="574"/>
      <c r="AE113" s="574"/>
      <c r="AF113" s="574"/>
      <c r="AG113" s="574"/>
    </row>
    <row s="4362" customFormat="1" customHeight="1" ht="11.25">
      <c r="A114" s="1000"/>
      <c r="B114" s="1682"/>
      <c r="C114" s="1682"/>
      <c r="D114" s="347"/>
      <c r="J114" s="4461"/>
      <c r="K114" s="4461"/>
      <c r="L114" s="4461"/>
      <c r="M114" s="1174"/>
      <c r="N114" s="1682"/>
      <c r="O114" s="1682"/>
      <c r="P114" s="1174"/>
      <c r="Q114" s="1174"/>
      <c r="R114" s="1174"/>
      <c r="S114" s="1174"/>
      <c r="T114" s="1682"/>
      <c r="U114" s="1174"/>
      <c r="V114" s="1174"/>
      <c r="W114" s="552"/>
      <c r="X114" s="1174"/>
      <c r="Y114" s="1174"/>
      <c r="Z114" s="1174"/>
      <c r="AA114" s="1174"/>
      <c r="AB114" s="1174"/>
      <c r="AC114" s="1678"/>
      <c r="AD114" s="574"/>
      <c r="AE114" s="574"/>
      <c r="AF114" s="574"/>
      <c r="AG114" s="574"/>
    </row>
    <row s="4362" customFormat="1" customHeight="1" ht="11.25">
      <c r="A115" s="1000"/>
      <c r="B115" s="1682"/>
      <c r="C115" s="1682"/>
      <c r="D115" s="347"/>
      <c r="J115" s="4461"/>
      <c r="K115" s="4461"/>
      <c r="L115" s="4461"/>
      <c r="M115" s="1174"/>
      <c r="N115" s="1682"/>
      <c r="O115" s="1682"/>
      <c r="P115" s="1174"/>
      <c r="Q115" s="1174"/>
      <c r="R115" s="1174"/>
      <c r="S115" s="1174"/>
      <c r="T115" s="1682"/>
      <c r="U115" s="1174"/>
      <c r="V115" s="1174"/>
      <c r="W115" s="552"/>
      <c r="X115" s="1174"/>
      <c r="Y115" s="1174"/>
      <c r="Z115" s="1174"/>
      <c r="AA115" s="1174"/>
      <c r="AB115" s="1174"/>
      <c r="AC115" s="1678"/>
      <c r="AD115" s="574"/>
      <c r="AE115" s="574"/>
      <c r="AF115" s="574"/>
      <c r="AG115" s="574"/>
    </row>
    <row s="4362" customFormat="1" customHeight="1" ht="11.25">
      <c r="A116" s="1000"/>
      <c r="B116" s="1682"/>
      <c r="C116" s="1682"/>
      <c r="D116" s="347"/>
      <c r="J116" s="4461"/>
      <c r="K116" s="4461"/>
      <c r="L116" s="4461"/>
      <c r="M116" s="1174"/>
      <c r="N116" s="1682"/>
      <c r="O116" s="1682"/>
      <c r="P116" s="1174"/>
      <c r="Q116" s="1174"/>
      <c r="R116" s="1174"/>
      <c r="S116" s="1174"/>
      <c r="T116" s="1682"/>
      <c r="U116" s="1174"/>
      <c r="V116" s="1174"/>
      <c r="W116" s="552"/>
      <c r="X116" s="1174"/>
      <c r="Y116" s="1174"/>
      <c r="Z116" s="1174"/>
      <c r="AA116" s="1174"/>
      <c r="AB116" s="1174"/>
      <c r="AC116" s="1678"/>
      <c r="AD116" s="574"/>
      <c r="AE116" s="574"/>
      <c r="AF116" s="574"/>
      <c r="AG116" s="574"/>
    </row>
    <row s="4362" customFormat="1" customHeight="1" ht="11.25">
      <c r="A117" s="1000"/>
      <c r="B117" s="1682"/>
      <c r="C117" s="1682"/>
      <c r="D117" s="347"/>
      <c r="J117" s="4461"/>
      <c r="K117" s="4461"/>
      <c r="L117" s="4461"/>
      <c r="M117" s="1174"/>
      <c r="N117" s="1682"/>
      <c r="O117" s="1682"/>
      <c r="P117" s="1174"/>
      <c r="Q117" s="1174"/>
      <c r="R117" s="1174"/>
      <c r="S117" s="1174"/>
      <c r="T117" s="1682"/>
      <c r="U117" s="1174"/>
      <c r="V117" s="1174"/>
      <c r="W117" s="552"/>
      <c r="X117" s="1174"/>
      <c r="Y117" s="1174"/>
      <c r="Z117" s="1174"/>
      <c r="AA117" s="1174"/>
      <c r="AB117" s="1174"/>
      <c r="AC117" s="1678"/>
      <c r="AD117" s="574"/>
      <c r="AE117" s="574"/>
      <c r="AF117" s="574"/>
      <c r="AG117" s="574"/>
    </row>
    <row s="4362" customFormat="1" customHeight="1" ht="11.25">
      <c r="A118" s="1000"/>
      <c r="B118" s="1682"/>
      <c r="C118" s="1682"/>
      <c r="D118" s="347"/>
      <c r="J118" s="4461"/>
      <c r="K118" s="4461"/>
      <c r="L118" s="4461"/>
      <c r="M118" s="1174"/>
      <c r="N118" s="1682"/>
      <c r="O118" s="1682"/>
      <c r="P118" s="1174"/>
      <c r="Q118" s="1174"/>
      <c r="R118" s="1174"/>
      <c r="S118" s="1174"/>
      <c r="T118" s="1682"/>
      <c r="U118" s="1174"/>
      <c r="V118" s="1174"/>
      <c r="W118" s="552"/>
      <c r="X118" s="1174"/>
      <c r="Y118" s="1174"/>
      <c r="Z118" s="1174"/>
      <c r="AA118" s="1174"/>
      <c r="AB118" s="1174"/>
      <c r="AC118" s="1678"/>
      <c r="AD118" s="574"/>
      <c r="AE118" s="574"/>
      <c r="AF118" s="574"/>
      <c r="AG118" s="574"/>
    </row>
    <row s="4362" customFormat="1" customHeight="1" ht="11.25">
      <c r="A119" s="1000"/>
      <c r="B119" s="1682"/>
      <c r="C119" s="1682"/>
      <c r="D119" s="347"/>
      <c r="J119" s="4461"/>
      <c r="K119" s="4461"/>
      <c r="L119" s="4461"/>
      <c r="M119" s="1174"/>
      <c r="N119" s="1682"/>
      <c r="O119" s="1682"/>
      <c r="P119" s="1174"/>
      <c r="Q119" s="1174"/>
      <c r="R119" s="1174"/>
      <c r="S119" s="1174"/>
      <c r="T119" s="1682"/>
      <c r="U119" s="1174"/>
      <c r="V119" s="1174"/>
      <c r="W119" s="552"/>
      <c r="X119" s="1174"/>
      <c r="Y119" s="1174"/>
      <c r="Z119" s="1174"/>
      <c r="AA119" s="1174"/>
      <c r="AB119" s="1174"/>
      <c r="AC119" s="1678"/>
      <c r="AD119" s="574"/>
      <c r="AE119" s="574"/>
      <c r="AF119" s="574"/>
      <c r="AG119" s="574"/>
    </row>
    <row s="4362" customFormat="1" customHeight="1" ht="11.25">
      <c r="A120" s="1000"/>
      <c r="B120" s="1682"/>
      <c r="C120" s="1682"/>
      <c r="D120" s="347"/>
      <c r="J120" s="4461"/>
      <c r="K120" s="4461"/>
      <c r="L120" s="4461"/>
      <c r="M120" s="1174"/>
      <c r="N120" s="1682"/>
      <c r="O120" s="1682"/>
      <c r="P120" s="1174"/>
      <c r="Q120" s="1174"/>
      <c r="R120" s="1174"/>
      <c r="S120" s="1174"/>
      <c r="T120" s="1682"/>
      <c r="U120" s="1174"/>
      <c r="V120" s="1174"/>
      <c r="W120" s="552"/>
      <c r="X120" s="1174"/>
      <c r="Y120" s="1174"/>
      <c r="Z120" s="1174"/>
      <c r="AA120" s="1174"/>
      <c r="AB120" s="1174"/>
      <c r="AC120" s="1678"/>
      <c r="AD120" s="574"/>
      <c r="AE120" s="574"/>
      <c r="AF120" s="574"/>
      <c r="AG120" s="574"/>
    </row>
    <row s="4362" customFormat="1" customHeight="1" ht="11.25">
      <c r="A121" s="1000"/>
      <c r="B121" s="1682"/>
      <c r="C121" s="1682"/>
      <c r="D121" s="347"/>
      <c r="J121" s="4461"/>
      <c r="K121" s="4461"/>
      <c r="L121" s="4461"/>
      <c r="M121" s="1174"/>
      <c r="N121" s="1682"/>
      <c r="O121" s="1682"/>
      <c r="P121" s="1174"/>
      <c r="Q121" s="1174"/>
      <c r="R121" s="1174"/>
      <c r="S121" s="1174"/>
      <c r="T121" s="1682"/>
      <c r="U121" s="1174"/>
      <c r="V121" s="1174"/>
      <c r="W121" s="552"/>
      <c r="X121" s="1174"/>
      <c r="Y121" s="1174"/>
      <c r="Z121" s="1174"/>
      <c r="AA121" s="1174"/>
      <c r="AB121" s="1174"/>
      <c r="AC121" s="1678"/>
      <c r="AD121" s="574"/>
      <c r="AE121" s="574"/>
      <c r="AF121" s="574"/>
      <c r="AG121" s="574"/>
    </row>
    <row s="4362" customFormat="1" customHeight="1" ht="11.25">
      <c r="A122" s="1000"/>
      <c r="B122" s="1682"/>
      <c r="C122" s="1682"/>
      <c r="D122" s="347"/>
      <c r="J122" s="4461"/>
      <c r="K122" s="4461"/>
      <c r="L122" s="4461"/>
      <c r="M122" s="1174"/>
      <c r="N122" s="1682"/>
      <c r="O122" s="1682"/>
      <c r="P122" s="1174"/>
      <c r="Q122" s="1174"/>
      <c r="R122" s="1174"/>
      <c r="S122" s="1174"/>
      <c r="T122" s="1682"/>
      <c r="U122" s="1174"/>
      <c r="V122" s="1174"/>
      <c r="W122" s="552"/>
      <c r="X122" s="1174"/>
      <c r="Y122" s="1174"/>
      <c r="Z122" s="1174"/>
      <c r="AA122" s="1174"/>
      <c r="AB122" s="1174"/>
      <c r="AC122" s="1678"/>
      <c r="AD122" s="574"/>
      <c r="AE122" s="574"/>
      <c r="AF122" s="574"/>
      <c r="AG122" s="574"/>
    </row>
    <row s="4362" customFormat="1" customHeight="1" ht="11.25">
      <c r="A123" s="1000"/>
      <c r="B123" s="1682"/>
      <c r="C123" s="1682"/>
      <c r="D123" s="347"/>
      <c r="J123" s="4461"/>
      <c r="K123" s="4461"/>
      <c r="L123" s="4461"/>
      <c r="M123" s="1174"/>
      <c r="N123" s="1682"/>
      <c r="O123" s="1682"/>
      <c r="P123" s="1174"/>
      <c r="Q123" s="1174"/>
      <c r="R123" s="1174"/>
      <c r="S123" s="1174"/>
      <c r="T123" s="1682"/>
      <c r="U123" s="1174"/>
      <c r="V123" s="1174"/>
      <c r="W123" s="552"/>
      <c r="X123" s="1174"/>
      <c r="Y123" s="1174"/>
      <c r="Z123" s="1174"/>
      <c r="AA123" s="1174"/>
      <c r="AB123" s="1174"/>
      <c r="AC123" s="1678"/>
      <c r="AD123" s="574"/>
      <c r="AE123" s="574"/>
      <c r="AF123" s="574"/>
      <c r="AG123" s="574"/>
    </row>
    <row s="4362" customFormat="1" customHeight="1" ht="11.25">
      <c r="A124" s="1000"/>
      <c r="B124" s="1682"/>
      <c r="C124" s="1682"/>
      <c r="D124" s="347"/>
      <c r="J124" s="4461"/>
      <c r="K124" s="4461"/>
      <c r="L124" s="4461"/>
      <c r="M124" s="1174"/>
      <c r="N124" s="1682"/>
      <c r="O124" s="1682"/>
      <c r="P124" s="1174"/>
      <c r="Q124" s="1174"/>
      <c r="R124" s="1174"/>
      <c r="S124" s="1174"/>
      <c r="T124" s="1682"/>
      <c r="U124" s="1174"/>
      <c r="V124" s="1174"/>
      <c r="W124" s="552"/>
      <c r="X124" s="1174"/>
      <c r="Y124" s="1174"/>
      <c r="Z124" s="1174"/>
      <c r="AA124" s="1174"/>
      <c r="AB124" s="1174"/>
      <c r="AC124" s="1678"/>
      <c r="AD124" s="574"/>
      <c r="AE124" s="574"/>
      <c r="AF124" s="574"/>
      <c r="AG124" s="574"/>
    </row>
    <row s="4362" customFormat="1" customHeight="1" ht="11.25">
      <c r="A125" s="1000"/>
      <c r="B125" s="1682"/>
      <c r="C125" s="1682"/>
      <c r="D125" s="347"/>
      <c r="J125" s="4461"/>
      <c r="K125" s="4461"/>
      <c r="L125" s="4461"/>
      <c r="M125" s="1174"/>
      <c r="N125" s="1682"/>
      <c r="O125" s="1682"/>
      <c r="P125" s="1174"/>
      <c r="Q125" s="1174"/>
      <c r="R125" s="1174"/>
      <c r="S125" s="1174"/>
      <c r="T125" s="1682"/>
      <c r="U125" s="1174"/>
      <c r="V125" s="1174"/>
      <c r="W125" s="552"/>
      <c r="X125" s="1174"/>
      <c r="Y125" s="1174"/>
      <c r="Z125" s="1174"/>
      <c r="AA125" s="1174"/>
      <c r="AB125" s="1174"/>
      <c r="AC125" s="1678"/>
      <c r="AD125" s="574"/>
      <c r="AE125" s="574"/>
      <c r="AF125" s="574"/>
      <c r="AG125" s="574"/>
    </row>
    <row s="4362" customFormat="1" customHeight="1" ht="11.25">
      <c r="A126" s="1000"/>
      <c r="B126" s="1682"/>
      <c r="C126" s="1682"/>
      <c r="D126" s="347"/>
      <c r="J126" s="4461"/>
      <c r="K126" s="4461"/>
      <c r="L126" s="4461"/>
      <c r="M126" s="1174"/>
      <c r="N126" s="1682"/>
      <c r="O126" s="1682"/>
      <c r="P126" s="1174"/>
      <c r="Q126" s="1174"/>
      <c r="R126" s="1174"/>
      <c r="S126" s="1174"/>
      <c r="T126" s="1682"/>
      <c r="U126" s="1174"/>
      <c r="V126" s="1174"/>
      <c r="W126" s="552"/>
      <c r="X126" s="1174"/>
      <c r="Y126" s="1174"/>
      <c r="Z126" s="1174"/>
      <c r="AA126" s="1174"/>
      <c r="AB126" s="1174"/>
      <c r="AC126" s="1678"/>
      <c r="AD126" s="574"/>
      <c r="AE126" s="574"/>
      <c r="AF126" s="574"/>
      <c r="AG126" s="574"/>
    </row>
    <row s="4362" customFormat="1" customHeight="1" ht="11.25">
      <c r="A127" s="1000"/>
      <c r="B127" s="1682"/>
      <c r="C127" s="1682"/>
      <c r="D127" s="347"/>
      <c r="J127" s="4461"/>
      <c r="K127" s="4461"/>
      <c r="L127" s="4461"/>
      <c r="M127" s="1174"/>
      <c r="N127" s="1682"/>
      <c r="O127" s="1682"/>
      <c r="P127" s="1174"/>
      <c r="Q127" s="1174"/>
      <c r="R127" s="1174"/>
      <c r="S127" s="1174"/>
      <c r="T127" s="1682"/>
      <c r="U127" s="1174"/>
      <c r="V127" s="1174"/>
      <c r="W127" s="552"/>
      <c r="X127" s="1174"/>
      <c r="Y127" s="1174"/>
      <c r="Z127" s="1174"/>
      <c r="AA127" s="1174"/>
      <c r="AB127" s="1174"/>
      <c r="AC127" s="1678"/>
      <c r="AD127" s="574"/>
      <c r="AE127" s="574"/>
      <c r="AF127" s="574"/>
      <c r="AG127" s="574"/>
    </row>
    <row s="4362" customFormat="1" customHeight="1" ht="11.25">
      <c r="A128" s="1000"/>
      <c r="B128" s="1682"/>
      <c r="C128" s="1682"/>
      <c r="D128" s="347"/>
      <c r="J128" s="4461"/>
      <c r="K128" s="4461"/>
      <c r="L128" s="4461"/>
      <c r="M128" s="1174"/>
      <c r="N128" s="1682"/>
      <c r="O128" s="1682"/>
      <c r="P128" s="1174"/>
      <c r="Q128" s="1174"/>
      <c r="R128" s="1174"/>
      <c r="S128" s="1174"/>
      <c r="T128" s="1682"/>
      <c r="U128" s="1174"/>
      <c r="V128" s="1174"/>
      <c r="W128" s="552"/>
      <c r="X128" s="1174"/>
      <c r="Y128" s="1174"/>
      <c r="Z128" s="1174"/>
      <c r="AA128" s="1174"/>
      <c r="AB128" s="1174"/>
      <c r="AC128" s="1678"/>
      <c r="AD128" s="574"/>
      <c r="AE128" s="574"/>
      <c r="AF128" s="574"/>
      <c r="AG128" s="574"/>
    </row>
    <row s="4362" customFormat="1" customHeight="1" ht="11.25">
      <c r="A129" s="1000"/>
      <c r="B129" s="1682"/>
      <c r="C129" s="1682"/>
      <c r="D129" s="347"/>
      <c r="J129" s="4461"/>
      <c r="K129" s="4461"/>
      <c r="L129" s="4461"/>
      <c r="M129" s="1174"/>
      <c r="N129" s="1682"/>
      <c r="O129" s="1682"/>
      <c r="P129" s="1174"/>
      <c r="Q129" s="1174"/>
      <c r="R129" s="1174"/>
      <c r="S129" s="1174"/>
      <c r="T129" s="1682"/>
      <c r="U129" s="1174"/>
      <c r="V129" s="1174"/>
      <c r="W129" s="552"/>
      <c r="X129" s="1174"/>
      <c r="Y129" s="1174"/>
      <c r="Z129" s="1174"/>
      <c r="AA129" s="1174"/>
      <c r="AB129" s="1174"/>
      <c r="AC129" s="1678"/>
      <c r="AD129" s="574"/>
      <c r="AE129" s="574"/>
      <c r="AF129" s="574"/>
      <c r="AG129" s="574"/>
    </row>
    <row s="4362" customFormat="1" customHeight="1" ht="11.25">
      <c r="A130" s="1000"/>
      <c r="B130" s="1682"/>
      <c r="C130" s="1682"/>
      <c r="D130" s="347"/>
      <c r="J130" s="4461"/>
      <c r="K130" s="4461"/>
      <c r="L130" s="4461"/>
      <c r="M130" s="1174"/>
      <c r="N130" s="1682"/>
      <c r="O130" s="1682"/>
      <c r="P130" s="1174"/>
      <c r="Q130" s="1174"/>
      <c r="R130" s="1174"/>
      <c r="S130" s="1174"/>
      <c r="T130" s="1682"/>
      <c r="U130" s="1174"/>
      <c r="V130" s="1174"/>
      <c r="W130" s="552"/>
      <c r="X130" s="1174"/>
      <c r="Y130" s="1174"/>
      <c r="Z130" s="1174"/>
      <c r="AA130" s="1174"/>
      <c r="AB130" s="1174"/>
      <c r="AC130" s="1678"/>
      <c r="AD130" s="574"/>
      <c r="AE130" s="574"/>
      <c r="AF130" s="574"/>
      <c r="AG130" s="574"/>
    </row>
    <row s="4362" customFormat="1" customHeight="1" ht="11.25">
      <c r="A131" s="1000"/>
      <c r="B131" s="1682"/>
      <c r="C131" s="1682"/>
      <c r="D131" s="347"/>
      <c r="J131" s="4461"/>
      <c r="K131" s="4461"/>
      <c r="L131" s="4461"/>
      <c r="M131" s="1174"/>
      <c r="N131" s="1682"/>
      <c r="O131" s="1682"/>
      <c r="P131" s="1174"/>
      <c r="Q131" s="1174"/>
      <c r="R131" s="1174"/>
      <c r="S131" s="1174"/>
      <c r="T131" s="1682"/>
      <c r="U131" s="1174"/>
      <c r="V131" s="1174"/>
      <c r="W131" s="552"/>
      <c r="X131" s="1174"/>
      <c r="Y131" s="1174"/>
      <c r="Z131" s="1174"/>
      <c r="AA131" s="1174"/>
      <c r="AB131" s="1174"/>
      <c r="AC131" s="1678"/>
      <c r="AD131" s="574"/>
      <c r="AE131" s="574"/>
      <c r="AF131" s="574"/>
      <c r="AG131" s="574"/>
    </row>
    <row s="4362" customFormat="1" customHeight="1" ht="11.25">
      <c r="A132" s="1000"/>
      <c r="B132" s="1682"/>
      <c r="C132" s="1682"/>
      <c r="D132" s="347"/>
      <c r="J132" s="4461"/>
      <c r="K132" s="4461"/>
      <c r="L132" s="4461"/>
      <c r="M132" s="1174"/>
      <c r="N132" s="1682"/>
      <c r="O132" s="1682"/>
      <c r="P132" s="1174"/>
      <c r="Q132" s="1174"/>
      <c r="R132" s="1174"/>
      <c r="S132" s="1174"/>
      <c r="T132" s="1682"/>
      <c r="U132" s="1174"/>
      <c r="V132" s="1174"/>
      <c r="W132" s="552"/>
      <c r="X132" s="1174"/>
      <c r="Y132" s="1174"/>
      <c r="Z132" s="1174"/>
      <c r="AA132" s="1174"/>
      <c r="AB132" s="1174"/>
      <c r="AC132" s="1678"/>
      <c r="AD132" s="574"/>
      <c r="AE132" s="574"/>
      <c r="AF132" s="574"/>
      <c r="AG132" s="574"/>
    </row>
    <row s="4362" customFormat="1" customHeight="1" ht="11.25">
      <c r="A133" s="1000"/>
      <c r="B133" s="1682"/>
      <c r="C133" s="1682"/>
      <c r="D133" s="347"/>
      <c r="J133" s="4461"/>
      <c r="K133" s="4461"/>
      <c r="L133" s="4461"/>
      <c r="M133" s="1174"/>
      <c r="N133" s="1682"/>
      <c r="O133" s="1682"/>
      <c r="P133" s="1174"/>
      <c r="Q133" s="1174"/>
      <c r="R133" s="1174"/>
      <c r="S133" s="1174"/>
      <c r="T133" s="1682"/>
      <c r="U133" s="1174"/>
      <c r="V133" s="1174"/>
      <c r="W133" s="552"/>
      <c r="X133" s="1174"/>
      <c r="Y133" s="1174"/>
      <c r="Z133" s="1174"/>
      <c r="AA133" s="1174"/>
      <c r="AB133" s="1174"/>
      <c r="AC133" s="1678"/>
      <c r="AD133" s="574"/>
      <c r="AE133" s="574"/>
      <c r="AF133" s="574"/>
      <c r="AG133" s="574"/>
    </row>
    <row s="4362" customFormat="1" customHeight="1" ht="11.25">
      <c r="A134" s="1000"/>
      <c r="B134" s="1682"/>
      <c r="C134" s="1682"/>
      <c r="D134" s="347"/>
      <c r="J134" s="4461"/>
      <c r="K134" s="4461"/>
      <c r="L134" s="4461"/>
      <c r="M134" s="1174"/>
      <c r="N134" s="1682"/>
      <c r="O134" s="1682"/>
      <c r="P134" s="1174"/>
      <c r="Q134" s="1174"/>
      <c r="R134" s="1174"/>
      <c r="S134" s="1174"/>
      <c r="T134" s="1682"/>
      <c r="U134" s="1174"/>
      <c r="V134" s="1174"/>
      <c r="W134" s="552"/>
      <c r="X134" s="1174"/>
      <c r="Y134" s="1174"/>
      <c r="Z134" s="1174"/>
      <c r="AA134" s="1174"/>
      <c r="AB134" s="1174"/>
      <c r="AC134" s="1678"/>
      <c r="AD134" s="574"/>
      <c r="AE134" s="574"/>
      <c r="AF134" s="574"/>
      <c r="AG134" s="574"/>
    </row>
    <row s="4362" customFormat="1" customHeight="1" ht="11.25">
      <c r="A135" s="1000"/>
      <c r="B135" s="1682"/>
      <c r="C135" s="1682"/>
      <c r="D135" s="347"/>
      <c r="J135" s="4461"/>
      <c r="K135" s="4461"/>
      <c r="L135" s="4461"/>
      <c r="M135" s="1174"/>
      <c r="N135" s="1682"/>
      <c r="O135" s="1682"/>
      <c r="P135" s="1174"/>
      <c r="Q135" s="1174"/>
      <c r="R135" s="1174"/>
      <c r="S135" s="1174"/>
      <c r="T135" s="1682"/>
      <c r="U135" s="1174"/>
      <c r="V135" s="1174"/>
      <c r="W135" s="552"/>
      <c r="X135" s="1174"/>
      <c r="Y135" s="1174"/>
      <c r="Z135" s="1174"/>
      <c r="AA135" s="1174"/>
      <c r="AB135" s="1174"/>
      <c r="AC135" s="1678"/>
      <c r="AD135" s="574"/>
      <c r="AE135" s="574"/>
      <c r="AF135" s="574"/>
      <c r="AG135" s="574"/>
    </row>
    <row s="4362" customFormat="1" customHeight="1" ht="11.25">
      <c r="A136" s="1000"/>
      <c r="B136" s="1682"/>
      <c r="C136" s="1682"/>
      <c r="D136" s="347"/>
      <c r="J136" s="4461"/>
      <c r="K136" s="4461"/>
      <c r="L136" s="4461"/>
      <c r="M136" s="1174"/>
      <c r="N136" s="1682"/>
      <c r="O136" s="1682"/>
      <c r="P136" s="1174"/>
      <c r="Q136" s="1174"/>
      <c r="R136" s="1174"/>
      <c r="S136" s="1174"/>
      <c r="T136" s="1682"/>
      <c r="U136" s="1174"/>
      <c r="V136" s="1174"/>
      <c r="W136" s="552"/>
      <c r="X136" s="1174"/>
      <c r="Y136" s="1174"/>
      <c r="Z136" s="1174"/>
      <c r="AA136" s="1174"/>
      <c r="AB136" s="1174"/>
      <c r="AC136" s="1678"/>
      <c r="AD136" s="574"/>
      <c r="AE136" s="574"/>
      <c r="AF136" s="574"/>
      <c r="AG136" s="574"/>
    </row>
    <row s="4362" customFormat="1" customHeight="1" ht="11.25">
      <c r="A137" s="1000"/>
      <c r="B137" s="1682"/>
      <c r="C137" s="1682"/>
      <c r="D137" s="347"/>
      <c r="J137" s="4461"/>
      <c r="K137" s="4461"/>
      <c r="L137" s="4461"/>
      <c r="M137" s="1174"/>
      <c r="N137" s="1682"/>
      <c r="O137" s="1682"/>
      <c r="P137" s="1174"/>
      <c r="Q137" s="1174"/>
      <c r="R137" s="1174"/>
      <c r="S137" s="1174"/>
      <c r="T137" s="1682"/>
      <c r="U137" s="1174"/>
      <c r="V137" s="1174"/>
      <c r="W137" s="552"/>
      <c r="X137" s="1174"/>
      <c r="Y137" s="1174"/>
      <c r="Z137" s="1174"/>
      <c r="AA137" s="1174"/>
      <c r="AB137" s="1174"/>
      <c r="AC137" s="1678"/>
      <c r="AD137" s="574"/>
      <c r="AE137" s="574"/>
      <c r="AF137" s="574"/>
      <c r="AG137" s="574"/>
    </row>
    <row s="4362" customFormat="1" customHeight="1" ht="11.25">
      <c r="A138" s="1000"/>
      <c r="B138" s="1682"/>
      <c r="C138" s="1682"/>
      <c r="D138" s="347"/>
      <c r="J138" s="4461"/>
      <c r="K138" s="4461"/>
      <c r="L138" s="4461"/>
      <c r="M138" s="1174"/>
      <c r="N138" s="1682"/>
      <c r="O138" s="1682"/>
      <c r="P138" s="1174"/>
      <c r="Q138" s="1174"/>
      <c r="R138" s="1174"/>
      <c r="S138" s="1174"/>
      <c r="T138" s="1682"/>
      <c r="U138" s="1174"/>
      <c r="V138" s="1174"/>
      <c r="W138" s="552"/>
      <c r="X138" s="1174"/>
      <c r="Y138" s="1174"/>
      <c r="Z138" s="1174"/>
      <c r="AA138" s="1174"/>
      <c r="AB138" s="1174"/>
      <c r="AC138" s="1678"/>
      <c r="AD138" s="574"/>
      <c r="AE138" s="574"/>
      <c r="AF138" s="574"/>
      <c r="AG138" s="574"/>
    </row>
    <row s="4362" customFormat="1" customHeight="1" ht="11.25">
      <c r="A139" s="1000"/>
      <c r="B139" s="1682"/>
      <c r="C139" s="1682"/>
      <c r="D139" s="347"/>
      <c r="J139" s="4461"/>
      <c r="K139" s="4461"/>
      <c r="L139" s="4461"/>
      <c r="M139" s="1174"/>
      <c r="N139" s="1682"/>
      <c r="O139" s="1682"/>
      <c r="P139" s="1174"/>
      <c r="Q139" s="1174"/>
      <c r="R139" s="1174"/>
      <c r="S139" s="1174"/>
      <c r="T139" s="1682"/>
      <c r="U139" s="1174"/>
      <c r="V139" s="1174"/>
      <c r="W139" s="552"/>
      <c r="X139" s="1174"/>
      <c r="Y139" s="1174"/>
      <c r="Z139" s="1174"/>
      <c r="AA139" s="1174"/>
      <c r="AB139" s="1174"/>
      <c r="AC139" s="1678"/>
      <c r="AD139" s="574"/>
      <c r="AE139" s="574"/>
      <c r="AF139" s="574"/>
      <c r="AG139" s="574"/>
    </row>
    <row s="4362" customFormat="1" customHeight="1" ht="11.25">
      <c r="A140" s="1000"/>
      <c r="B140" s="1682"/>
      <c r="C140" s="1682"/>
      <c r="D140" s="347"/>
      <c r="J140" s="4461"/>
      <c r="K140" s="4461"/>
      <c r="L140" s="4461"/>
      <c r="M140" s="1174"/>
      <c r="N140" s="1682"/>
      <c r="O140" s="1682"/>
      <c r="P140" s="1174"/>
      <c r="Q140" s="1174"/>
      <c r="R140" s="1174"/>
      <c r="S140" s="1174"/>
      <c r="T140" s="1682"/>
      <c r="U140" s="1174"/>
      <c r="V140" s="1174"/>
      <c r="W140" s="552"/>
      <c r="X140" s="1174"/>
      <c r="Y140" s="1174"/>
      <c r="Z140" s="1174"/>
      <c r="AA140" s="1174"/>
      <c r="AB140" s="1174"/>
      <c r="AC140" s="1678"/>
      <c r="AD140" s="574"/>
      <c r="AE140" s="574"/>
      <c r="AF140" s="574"/>
      <c r="AG140" s="574"/>
    </row>
    <row s="4362" customFormat="1" customHeight="1" ht="11.25">
      <c r="A141" s="1000"/>
      <c r="B141" s="1682"/>
      <c r="C141" s="1682"/>
      <c r="D141" s="347"/>
      <c r="J141" s="4461"/>
      <c r="K141" s="4461"/>
      <c r="L141" s="4461"/>
      <c r="M141" s="1174"/>
      <c r="N141" s="1682"/>
      <c r="O141" s="1682"/>
      <c r="P141" s="1174"/>
      <c r="Q141" s="1174"/>
      <c r="R141" s="1174"/>
      <c r="S141" s="1174"/>
      <c r="T141" s="1682"/>
      <c r="U141" s="1174"/>
      <c r="V141" s="1174"/>
      <c r="W141" s="552"/>
      <c r="X141" s="1174"/>
      <c r="Y141" s="1174"/>
      <c r="Z141" s="1174"/>
      <c r="AA141" s="1174"/>
      <c r="AB141" s="1174"/>
      <c r="AC141" s="1678"/>
      <c r="AD141" s="574"/>
      <c r="AE141" s="574"/>
      <c r="AF141" s="574"/>
      <c r="AG141" s="574"/>
    </row>
    <row s="4362" customFormat="1" customHeight="1" ht="11.25">
      <c r="A142" s="1000"/>
      <c r="B142" s="1682"/>
      <c r="C142" s="1682"/>
      <c r="D142" s="347"/>
      <c r="J142" s="4461"/>
      <c r="K142" s="4461"/>
      <c r="L142" s="4461"/>
      <c r="M142" s="1174"/>
      <c r="N142" s="1682"/>
      <c r="O142" s="1682"/>
      <c r="P142" s="1174"/>
      <c r="Q142" s="1174"/>
      <c r="R142" s="1174"/>
      <c r="S142" s="1174"/>
      <c r="T142" s="1682"/>
      <c r="U142" s="1174"/>
      <c r="V142" s="1174"/>
      <c r="W142" s="552"/>
      <c r="X142" s="1174"/>
      <c r="Y142" s="1174"/>
      <c r="Z142" s="1174"/>
      <c r="AA142" s="1174"/>
      <c r="AB142" s="1174"/>
      <c r="AC142" s="1678"/>
      <c r="AD142" s="574"/>
      <c r="AE142" s="574"/>
      <c r="AF142" s="574"/>
      <c r="AG142" s="574"/>
    </row>
    <row s="4362" customFormat="1" customHeight="1" ht="11.25">
      <c r="A143" s="1000"/>
      <c r="B143" s="1682"/>
      <c r="C143" s="1682"/>
      <c r="D143" s="347"/>
      <c r="J143" s="4461"/>
      <c r="K143" s="4461"/>
      <c r="L143" s="4461"/>
      <c r="M143" s="1174"/>
      <c r="N143" s="1682"/>
      <c r="O143" s="1682"/>
      <c r="P143" s="1174"/>
      <c r="Q143" s="1174"/>
      <c r="R143" s="1174"/>
      <c r="S143" s="1174"/>
      <c r="T143" s="1682"/>
      <c r="U143" s="1174"/>
      <c r="V143" s="1174"/>
      <c r="W143" s="552"/>
      <c r="X143" s="1174"/>
      <c r="Y143" s="1174"/>
      <c r="Z143" s="1174"/>
      <c r="AA143" s="1174"/>
      <c r="AB143" s="1174"/>
      <c r="AC143" s="1678"/>
      <c r="AD143" s="574"/>
      <c r="AE143" s="574"/>
      <c r="AF143" s="574"/>
      <c r="AG143" s="574"/>
    </row>
    <row s="4362" customFormat="1" customHeight="1" ht="11.25">
      <c r="A144" s="1000"/>
      <c r="B144" s="1682"/>
      <c r="C144" s="1682"/>
      <c r="D144" s="347"/>
      <c r="J144" s="4461"/>
      <c r="K144" s="4461"/>
      <c r="L144" s="4461"/>
      <c r="M144" s="1174"/>
      <c r="N144" s="1682"/>
      <c r="O144" s="1682"/>
      <c r="P144" s="1174"/>
      <c r="Q144" s="1174"/>
      <c r="R144" s="1174"/>
      <c r="S144" s="1174"/>
      <c r="T144" s="1682"/>
      <c r="U144" s="1174"/>
      <c r="V144" s="1174"/>
      <c r="W144" s="552"/>
      <c r="X144" s="1174"/>
      <c r="Y144" s="1174"/>
      <c r="Z144" s="1174"/>
      <c r="AA144" s="1174"/>
      <c r="AB144" s="1174"/>
      <c r="AC144" s="1678"/>
      <c r="AD144" s="574"/>
      <c r="AE144" s="574"/>
      <c r="AF144" s="574"/>
      <c r="AG144" s="574"/>
    </row>
    <row s="4362" customFormat="1" customHeight="1" ht="11.25">
      <c r="A145" s="1000"/>
      <c r="B145" s="1682"/>
      <c r="C145" s="1682"/>
      <c r="D145" s="347"/>
      <c r="J145" s="4461"/>
      <c r="K145" s="4461"/>
      <c r="L145" s="4461"/>
      <c r="M145" s="1174"/>
      <c r="N145" s="1682"/>
      <c r="O145" s="1682"/>
      <c r="P145" s="1174"/>
      <c r="Q145" s="1174"/>
      <c r="R145" s="1174"/>
      <c r="S145" s="1174"/>
      <c r="T145" s="1682"/>
      <c r="U145" s="1174"/>
      <c r="V145" s="1174"/>
      <c r="W145" s="552"/>
      <c r="X145" s="1174"/>
      <c r="Y145" s="1174"/>
      <c r="Z145" s="1174"/>
      <c r="AA145" s="1174"/>
      <c r="AB145" s="1174"/>
      <c r="AC145" s="1678"/>
      <c r="AD145" s="574"/>
      <c r="AE145" s="574"/>
      <c r="AF145" s="574"/>
      <c r="AG145" s="574"/>
    </row>
    <row s="4362" customFormat="1" customHeight="1" ht="11.25">
      <c r="A146" s="1000"/>
      <c r="B146" s="1682"/>
      <c r="C146" s="1682"/>
      <c r="D146" s="347"/>
      <c r="J146" s="4461"/>
      <c r="K146" s="4461"/>
      <c r="L146" s="4461"/>
      <c r="M146" s="1174"/>
      <c r="N146" s="1682"/>
      <c r="O146" s="1682"/>
      <c r="P146" s="1174"/>
      <c r="Q146" s="1174"/>
      <c r="R146" s="1174"/>
      <c r="S146" s="1174"/>
      <c r="T146" s="1682"/>
      <c r="U146" s="1174"/>
      <c r="V146" s="1174"/>
      <c r="W146" s="552"/>
      <c r="X146" s="1174"/>
      <c r="Y146" s="1174"/>
      <c r="Z146" s="1174"/>
      <c r="AA146" s="1174"/>
      <c r="AB146" s="1174"/>
      <c r="AC146" s="1678"/>
      <c r="AD146" s="574"/>
      <c r="AE146" s="574"/>
      <c r="AF146" s="574"/>
      <c r="AG146" s="574"/>
    </row>
    <row s="4362" customFormat="1" customHeight="1" ht="11.25">
      <c r="A147" s="1000"/>
      <c r="B147" s="1682"/>
      <c r="C147" s="1682"/>
      <c r="D147" s="347"/>
      <c r="J147" s="4461"/>
      <c r="K147" s="4461"/>
      <c r="L147" s="4461"/>
      <c r="M147" s="1174"/>
      <c r="N147" s="1682"/>
      <c r="O147" s="1682"/>
      <c r="P147" s="1174"/>
      <c r="Q147" s="1174"/>
      <c r="R147" s="1174"/>
      <c r="S147" s="1174"/>
      <c r="T147" s="1682"/>
      <c r="U147" s="1174"/>
      <c r="V147" s="1174"/>
      <c r="W147" s="552"/>
      <c r="X147" s="1174"/>
      <c r="Y147" s="1174"/>
      <c r="Z147" s="1174"/>
      <c r="AA147" s="1174"/>
      <c r="AB147" s="1174"/>
      <c r="AC147" s="1678"/>
      <c r="AD147" s="574"/>
      <c r="AE147" s="574"/>
      <c r="AF147" s="574"/>
      <c r="AG147" s="574"/>
    </row>
    <row s="4362" customFormat="1" customHeight="1" ht="11.25">
      <c r="A148" s="1000"/>
      <c r="B148" s="1682"/>
      <c r="C148" s="1682"/>
      <c r="D148" s="347"/>
      <c r="J148" s="4461"/>
      <c r="K148" s="4461"/>
      <c r="L148" s="4461"/>
      <c r="M148" s="1174"/>
      <c r="N148" s="1682"/>
      <c r="O148" s="1682"/>
      <c r="P148" s="1174"/>
      <c r="Q148" s="1174"/>
      <c r="R148" s="1174"/>
      <c r="S148" s="1174"/>
      <c r="T148" s="1682"/>
      <c r="U148" s="1174"/>
      <c r="V148" s="1174"/>
      <c r="W148" s="552"/>
      <c r="X148" s="1174"/>
      <c r="Y148" s="1174"/>
      <c r="Z148" s="1174"/>
      <c r="AA148" s="1174"/>
      <c r="AB148" s="1174"/>
      <c r="AC148" s="1678"/>
      <c r="AD148" s="574"/>
      <c r="AE148" s="574"/>
      <c r="AF148" s="574"/>
      <c r="AG148" s="574"/>
    </row>
    <row s="4362" customFormat="1" customHeight="1" ht="11.25">
      <c r="A149" s="1000"/>
      <c r="B149" s="1682"/>
      <c r="C149" s="1682"/>
      <c r="D149" s="347"/>
      <c r="J149" s="4461"/>
      <c r="K149" s="4461"/>
      <c r="L149" s="4461"/>
      <c r="M149" s="1174"/>
      <c r="N149" s="1682"/>
      <c r="O149" s="1682"/>
      <c r="P149" s="1174"/>
      <c r="Q149" s="1174"/>
      <c r="R149" s="1174"/>
      <c r="S149" s="1174"/>
      <c r="T149" s="1682"/>
      <c r="U149" s="1174"/>
      <c r="V149" s="1174"/>
      <c r="W149" s="552"/>
      <c r="X149" s="1174"/>
      <c r="Y149" s="1174"/>
      <c r="Z149" s="1174"/>
      <c r="AA149" s="1174"/>
      <c r="AB149" s="1174"/>
      <c r="AC149" s="1678"/>
      <c r="AD149" s="574"/>
      <c r="AE149" s="574"/>
      <c r="AF149" s="574"/>
      <c r="AG149" s="574"/>
    </row>
    <row s="4362" customFormat="1" customHeight="1" ht="11.25">
      <c r="A150" s="1000"/>
      <c r="B150" s="1682"/>
      <c r="C150" s="1682"/>
      <c r="D150" s="347"/>
      <c r="J150" s="4461"/>
      <c r="K150" s="4461"/>
      <c r="L150" s="4461"/>
      <c r="M150" s="1174"/>
      <c r="N150" s="1682"/>
      <c r="O150" s="1682"/>
      <c r="P150" s="1174"/>
      <c r="Q150" s="1174"/>
      <c r="R150" s="1174"/>
      <c r="S150" s="1174"/>
      <c r="T150" s="1682"/>
      <c r="U150" s="1174"/>
      <c r="V150" s="1174"/>
      <c r="W150" s="552"/>
      <c r="X150" s="1174"/>
      <c r="Y150" s="1174"/>
      <c r="Z150" s="1174"/>
      <c r="AA150" s="1174"/>
      <c r="AB150" s="1174"/>
      <c r="AC150" s="1678"/>
      <c r="AD150" s="574"/>
      <c r="AE150" s="574"/>
      <c r="AF150" s="574"/>
      <c r="AG150" s="574"/>
    </row>
    <row s="4362" customFormat="1" customHeight="1" ht="11.25">
      <c r="A151" s="1000"/>
      <c r="B151" s="1682"/>
      <c r="C151" s="1682"/>
      <c r="D151" s="347"/>
      <c r="J151" s="4461"/>
      <c r="K151" s="4461"/>
      <c r="L151" s="4461"/>
      <c r="M151" s="1174"/>
      <c r="N151" s="1682"/>
      <c r="O151" s="1682"/>
      <c r="P151" s="1174"/>
      <c r="Q151" s="1174"/>
      <c r="R151" s="1174"/>
      <c r="S151" s="1174"/>
      <c r="T151" s="1682"/>
      <c r="U151" s="1174"/>
      <c r="V151" s="1174"/>
      <c r="W151" s="552"/>
      <c r="X151" s="1174"/>
      <c r="Y151" s="1174"/>
      <c r="Z151" s="1174"/>
      <c r="AA151" s="1174"/>
      <c r="AB151" s="1174"/>
      <c r="AC151" s="1678"/>
      <c r="AD151" s="574"/>
      <c r="AE151" s="574"/>
      <c r="AF151" s="574"/>
      <c r="AG151" s="574"/>
    </row>
    <row s="4362" customFormat="1" customHeight="1" ht="11.25">
      <c r="A152" s="1000"/>
      <c r="B152" s="1682"/>
      <c r="C152" s="1682"/>
      <c r="D152" s="347"/>
      <c r="J152" s="4461"/>
      <c r="K152" s="4461"/>
      <c r="L152" s="4461"/>
      <c r="M152" s="1174"/>
      <c r="N152" s="1682"/>
      <c r="O152" s="1682"/>
      <c r="P152" s="1174"/>
      <c r="Q152" s="1174"/>
      <c r="R152" s="1174"/>
      <c r="S152" s="1174"/>
      <c r="T152" s="1682"/>
      <c r="U152" s="1174"/>
      <c r="V152" s="1174"/>
      <c r="W152" s="552"/>
      <c r="X152" s="1174"/>
      <c r="Y152" s="1174"/>
      <c r="Z152" s="1174"/>
      <c r="AA152" s="1174"/>
      <c r="AB152" s="1174"/>
      <c r="AC152" s="1678"/>
      <c r="AD152" s="574"/>
      <c r="AE152" s="574"/>
      <c r="AF152" s="574"/>
      <c r="AG152" s="574"/>
    </row>
    <row s="4362" customFormat="1" customHeight="1" ht="11.25">
      <c r="A153" s="1000"/>
      <c r="B153" s="1682"/>
      <c r="C153" s="1682"/>
      <c r="D153" s="347"/>
      <c r="J153" s="4461"/>
      <c r="K153" s="4461"/>
      <c r="L153" s="4461"/>
      <c r="M153" s="1174"/>
      <c r="N153" s="1682"/>
      <c r="O153" s="1682"/>
      <c r="P153" s="1174"/>
      <c r="Q153" s="1174"/>
      <c r="R153" s="1174"/>
      <c r="S153" s="1174"/>
      <c r="T153" s="1682"/>
      <c r="U153" s="1174"/>
      <c r="V153" s="1174"/>
      <c r="W153" s="552"/>
      <c r="X153" s="1174"/>
      <c r="Y153" s="1174"/>
      <c r="Z153" s="1174"/>
      <c r="AA153" s="1174"/>
      <c r="AB153" s="1174"/>
      <c r="AC153" s="1678"/>
      <c r="AD153" s="574"/>
      <c r="AE153" s="574"/>
      <c r="AF153" s="574"/>
      <c r="AG153" s="574"/>
    </row>
    <row s="4362" customFormat="1" customHeight="1" ht="11.25">
      <c r="A154" s="1000"/>
      <c r="B154" s="1682"/>
      <c r="C154" s="1682"/>
      <c r="D154" s="347"/>
      <c r="J154" s="4461"/>
      <c r="K154" s="4461"/>
      <c r="L154" s="4461"/>
      <c r="M154" s="1174"/>
      <c r="N154" s="1682"/>
      <c r="O154" s="1682"/>
      <c r="P154" s="1174"/>
      <c r="Q154" s="1174"/>
      <c r="R154" s="1174"/>
      <c r="S154" s="1174"/>
      <c r="T154" s="1682"/>
      <c r="U154" s="1174"/>
      <c r="V154" s="1174"/>
      <c r="W154" s="552"/>
      <c r="X154" s="1174"/>
      <c r="Y154" s="1174"/>
      <c r="Z154" s="1174"/>
      <c r="AA154" s="1174"/>
      <c r="AB154" s="1174"/>
      <c r="AC154" s="1678"/>
      <c r="AD154" s="574"/>
      <c r="AE154" s="574"/>
      <c r="AF154" s="574"/>
      <c r="AG154" s="574"/>
    </row>
    <row s="4362" customFormat="1" customHeight="1" ht="11.25">
      <c r="A155" s="1000"/>
      <c r="B155" s="1682"/>
      <c r="C155" s="1682"/>
      <c r="D155" s="347"/>
      <c r="J155" s="4461"/>
      <c r="K155" s="4461"/>
      <c r="L155" s="4461"/>
      <c r="M155" s="1174"/>
      <c r="N155" s="1682"/>
      <c r="O155" s="1682"/>
      <c r="P155" s="1174"/>
      <c r="Q155" s="1174"/>
      <c r="R155" s="1174"/>
      <c r="S155" s="1174"/>
      <c r="T155" s="1682"/>
      <c r="U155" s="1174"/>
      <c r="V155" s="1174"/>
      <c r="W155" s="552"/>
      <c r="X155" s="1174"/>
      <c r="Y155" s="1174"/>
      <c r="Z155" s="1174"/>
      <c r="AA155" s="1174"/>
      <c r="AB155" s="1174"/>
      <c r="AC155" s="1678"/>
      <c r="AD155" s="574"/>
      <c r="AE155" s="574"/>
      <c r="AF155" s="574"/>
      <c r="AG155" s="574"/>
    </row>
    <row s="4362" customFormat="1" customHeight="1" ht="11.25">
      <c r="A156" s="1000"/>
      <c r="B156" s="1682"/>
      <c r="C156" s="1682"/>
      <c r="D156" s="347"/>
      <c r="J156" s="4461"/>
      <c r="K156" s="4461"/>
      <c r="L156" s="4461"/>
      <c r="M156" s="1174"/>
      <c r="N156" s="1682"/>
      <c r="O156" s="1682"/>
      <c r="P156" s="1174"/>
      <c r="Q156" s="1174"/>
      <c r="R156" s="1174"/>
      <c r="S156" s="1174"/>
      <c r="T156" s="1682"/>
      <c r="U156" s="1174"/>
      <c r="V156" s="1174"/>
      <c r="W156" s="552"/>
      <c r="X156" s="1174"/>
      <c r="Y156" s="1174"/>
      <c r="Z156" s="1174"/>
      <c r="AA156" s="1174"/>
      <c r="AB156" s="1174"/>
      <c r="AC156" s="1678"/>
      <c r="AD156" s="574"/>
      <c r="AE156" s="574"/>
      <c r="AF156" s="574"/>
      <c r="AG156" s="574"/>
    </row>
    <row s="4362" customFormat="1" customHeight="1" ht="11.25">
      <c r="A157" s="1000"/>
      <c r="B157" s="1682"/>
      <c r="C157" s="1682"/>
      <c r="D157" s="347"/>
      <c r="J157" s="4461"/>
      <c r="K157" s="4461"/>
      <c r="L157" s="4461"/>
      <c r="M157" s="1174"/>
      <c r="N157" s="1682"/>
      <c r="O157" s="1682"/>
      <c r="P157" s="1174"/>
      <c r="Q157" s="1174"/>
      <c r="R157" s="1174"/>
      <c r="S157" s="1174"/>
      <c r="T157" s="1682"/>
      <c r="U157" s="1174"/>
      <c r="V157" s="1174"/>
      <c r="W157" s="552"/>
      <c r="X157" s="1174"/>
      <c r="Y157" s="1174"/>
      <c r="Z157" s="1174"/>
      <c r="AA157" s="1174"/>
      <c r="AB157" s="1174"/>
      <c r="AC157" s="1678"/>
      <c r="AD157" s="574"/>
      <c r="AE157" s="574"/>
      <c r="AF157" s="574"/>
      <c r="AG157" s="574"/>
    </row>
    <row s="4362" customFormat="1" customHeight="1" ht="11.25">
      <c r="A158" s="1000"/>
      <c r="B158" s="1682"/>
      <c r="C158" s="1682"/>
      <c r="D158" s="347"/>
      <c r="J158" s="4461"/>
      <c r="K158" s="4461"/>
      <c r="L158" s="4461"/>
      <c r="M158" s="1174"/>
      <c r="N158" s="1682"/>
      <c r="O158" s="1682"/>
      <c r="P158" s="1174"/>
      <c r="Q158" s="1174"/>
      <c r="R158" s="1174"/>
      <c r="S158" s="1174"/>
      <c r="T158" s="1682"/>
      <c r="U158" s="1174"/>
      <c r="V158" s="1174"/>
      <c r="W158" s="552"/>
      <c r="X158" s="1174"/>
      <c r="Y158" s="1174"/>
      <c r="Z158" s="1174"/>
      <c r="AA158" s="1174"/>
      <c r="AB158" s="1174"/>
      <c r="AC158" s="1678"/>
      <c r="AD158" s="574"/>
      <c r="AE158" s="574"/>
      <c r="AF158" s="574"/>
      <c r="AG158" s="574"/>
    </row>
    <row s="4362" customFormat="1" customHeight="1" ht="11.25">
      <c r="A159" s="1000"/>
      <c r="B159" s="1682"/>
      <c r="C159" s="1682"/>
      <c r="D159" s="347"/>
      <c r="J159" s="4461"/>
      <c r="K159" s="4461"/>
      <c r="L159" s="4461"/>
      <c r="M159" s="1174"/>
      <c r="N159" s="1682"/>
      <c r="O159" s="1682"/>
      <c r="P159" s="1174"/>
      <c r="Q159" s="1174"/>
      <c r="R159" s="1174"/>
      <c r="S159" s="1174"/>
      <c r="T159" s="1682"/>
      <c r="U159" s="1174"/>
      <c r="V159" s="1174"/>
      <c r="W159" s="552"/>
      <c r="X159" s="1174"/>
      <c r="Y159" s="1174"/>
      <c r="Z159" s="1174"/>
      <c r="AA159" s="1174"/>
      <c r="AB159" s="1174"/>
      <c r="AC159" s="1678"/>
      <c r="AD159" s="574"/>
      <c r="AE159" s="574"/>
      <c r="AF159" s="574"/>
      <c r="AG159" s="574"/>
    </row>
    <row s="4362" customFormat="1" customHeight="1" ht="11.25">
      <c r="A160" s="1000"/>
      <c r="B160" s="1682"/>
      <c r="C160" s="1682"/>
      <c r="D160" s="347"/>
      <c r="J160" s="4461"/>
      <c r="K160" s="4461"/>
      <c r="L160" s="4461"/>
      <c r="M160" s="1174"/>
      <c r="N160" s="1682"/>
      <c r="O160" s="1682"/>
      <c r="P160" s="1174"/>
      <c r="Q160" s="1174"/>
      <c r="R160" s="1174"/>
      <c r="S160" s="1174"/>
      <c r="T160" s="1682"/>
      <c r="U160" s="1174"/>
      <c r="V160" s="1174"/>
      <c r="W160" s="552"/>
      <c r="X160" s="1174"/>
      <c r="Y160" s="1174"/>
      <c r="Z160" s="1174"/>
      <c r="AA160" s="1174"/>
      <c r="AB160" s="1174"/>
      <c r="AC160" s="1678"/>
      <c r="AD160" s="574"/>
      <c r="AE160" s="574"/>
      <c r="AF160" s="574"/>
      <c r="AG160" s="574"/>
    </row>
    <row s="4362" customFormat="1" customHeight="1" ht="11.25">
      <c r="A161" s="1000"/>
      <c r="B161" s="1682"/>
      <c r="C161" s="1682"/>
      <c r="D161" s="347"/>
      <c r="J161" s="4461"/>
      <c r="K161" s="4461"/>
      <c r="L161" s="4461"/>
      <c r="M161" s="1174"/>
      <c r="N161" s="1682"/>
      <c r="O161" s="1682"/>
      <c r="P161" s="1174"/>
      <c r="Q161" s="1174"/>
      <c r="R161" s="1174"/>
      <c r="S161" s="1174"/>
      <c r="T161" s="1682"/>
      <c r="U161" s="1174"/>
      <c r="V161" s="1174"/>
      <c r="W161" s="552"/>
      <c r="X161" s="1174"/>
      <c r="Y161" s="1174"/>
      <c r="Z161" s="1174"/>
      <c r="AA161" s="1174"/>
      <c r="AB161" s="1174"/>
      <c r="AC161" s="1678"/>
      <c r="AD161" s="574"/>
      <c r="AE161" s="574"/>
      <c r="AF161" s="574"/>
      <c r="AG161" s="574"/>
    </row>
    <row s="4362" customFormat="1" customHeight="1" ht="11.25">
      <c r="A162" s="1000"/>
      <c r="B162" s="1682"/>
      <c r="C162" s="1682"/>
      <c r="D162" s="347"/>
      <c r="J162" s="4461"/>
      <c r="K162" s="4461"/>
      <c r="L162" s="4461"/>
      <c r="M162" s="1174"/>
      <c r="N162" s="1682"/>
      <c r="O162" s="1682"/>
      <c r="P162" s="1174"/>
      <c r="Q162" s="1174"/>
      <c r="R162" s="1174"/>
      <c r="S162" s="1174"/>
      <c r="T162" s="1682"/>
      <c r="U162" s="1174"/>
      <c r="V162" s="1174"/>
      <c r="W162" s="552"/>
      <c r="X162" s="1174"/>
      <c r="Y162" s="1174"/>
      <c r="Z162" s="1174"/>
      <c r="AA162" s="1174"/>
      <c r="AB162" s="1174"/>
      <c r="AC162" s="1678"/>
      <c r="AD162" s="574"/>
      <c r="AE162" s="574"/>
      <c r="AF162" s="574"/>
      <c r="AG162" s="574"/>
    </row>
    <row s="4362" customFormat="1" customHeight="1" ht="11.25">
      <c r="A163" s="1000"/>
      <c r="B163" s="1682"/>
      <c r="C163" s="1682"/>
      <c r="D163" s="347"/>
      <c r="J163" s="4461"/>
      <c r="K163" s="4461"/>
      <c r="L163" s="4461"/>
      <c r="M163" s="1174"/>
      <c r="N163" s="1682"/>
      <c r="O163" s="1682"/>
      <c r="P163" s="1174"/>
      <c r="Q163" s="1174"/>
      <c r="R163" s="1174"/>
      <c r="S163" s="1174"/>
      <c r="T163" s="1682"/>
      <c r="U163" s="1174"/>
      <c r="V163" s="1174"/>
      <c r="W163" s="552"/>
      <c r="X163" s="1174"/>
      <c r="Y163" s="1174"/>
      <c r="Z163" s="1174"/>
      <c r="AA163" s="1174"/>
      <c r="AB163" s="1174"/>
      <c r="AC163" s="1678"/>
      <c r="AD163" s="574"/>
      <c r="AE163" s="574"/>
      <c r="AF163" s="574"/>
      <c r="AG163" s="574"/>
    </row>
    <row s="4362" customFormat="1" customHeight="1" ht="11.25">
      <c r="A164" s="1000"/>
      <c r="B164" s="1682"/>
      <c r="C164" s="1682"/>
      <c r="D164" s="347"/>
      <c r="J164" s="4461"/>
      <c r="K164" s="4461"/>
      <c r="L164" s="4461"/>
      <c r="M164" s="1174"/>
      <c r="N164" s="1682"/>
      <c r="O164" s="1682"/>
      <c r="P164" s="1174"/>
      <c r="Q164" s="1174"/>
      <c r="R164" s="1174"/>
      <c r="S164" s="1174"/>
      <c r="T164" s="1682"/>
      <c r="U164" s="1174"/>
      <c r="V164" s="1174"/>
      <c r="W164" s="552"/>
      <c r="X164" s="1174"/>
      <c r="Y164" s="1174"/>
      <c r="Z164" s="1174"/>
      <c r="AA164" s="1174"/>
      <c r="AB164" s="1174"/>
      <c r="AC164" s="1678"/>
      <c r="AD164" s="574"/>
      <c r="AE164" s="574"/>
      <c r="AF164" s="574"/>
      <c r="AG164" s="574"/>
    </row>
    <row s="4362" customFormat="1" customHeight="1" ht="11.25">
      <c r="A165" s="1000"/>
      <c r="B165" s="1682"/>
      <c r="C165" s="1682"/>
      <c r="D165" s="347"/>
      <c r="J165" s="4461"/>
      <c r="K165" s="4461"/>
      <c r="L165" s="4461"/>
      <c r="M165" s="1174"/>
      <c r="N165" s="1682"/>
      <c r="O165" s="1682"/>
      <c r="P165" s="1174"/>
      <c r="Q165" s="1174"/>
      <c r="R165" s="1174"/>
      <c r="S165" s="1174"/>
      <c r="T165" s="1682"/>
      <c r="U165" s="1174"/>
      <c r="V165" s="1174"/>
      <c r="W165" s="552"/>
      <c r="X165" s="1174"/>
      <c r="Y165" s="1174"/>
      <c r="Z165" s="1174"/>
      <c r="AA165" s="1174"/>
      <c r="AB165" s="1174"/>
      <c r="AC165" s="1678"/>
      <c r="AD165" s="574"/>
      <c r="AE165" s="574"/>
      <c r="AF165" s="574"/>
      <c r="AG165" s="574"/>
    </row>
    <row s="4362" customFormat="1" customHeight="1" ht="11.25">
      <c r="A166" s="1000"/>
      <c r="B166" s="1682"/>
      <c r="C166" s="1682"/>
      <c r="D166" s="347"/>
      <c r="J166" s="4461"/>
      <c r="K166" s="4461"/>
      <c r="L166" s="4461"/>
      <c r="M166" s="1174"/>
      <c r="N166" s="1682"/>
      <c r="O166" s="1682"/>
      <c r="P166" s="1174"/>
      <c r="Q166" s="1174"/>
      <c r="R166" s="1174"/>
      <c r="S166" s="1174"/>
      <c r="T166" s="1682"/>
      <c r="U166" s="1174"/>
      <c r="V166" s="1174"/>
      <c r="W166" s="552"/>
      <c r="X166" s="1174"/>
      <c r="Y166" s="1174"/>
      <c r="Z166" s="1174"/>
      <c r="AA166" s="1174"/>
      <c r="AB166" s="1174"/>
      <c r="AC166" s="1678"/>
      <c r="AD166" s="574"/>
      <c r="AE166" s="574"/>
      <c r="AF166" s="574"/>
      <c r="AG166" s="574"/>
    </row>
    <row s="4362" customFormat="1" customHeight="1" ht="11.25">
      <c r="A167" s="1000"/>
      <c r="B167" s="1682"/>
      <c r="C167" s="1682"/>
      <c r="D167" s="347"/>
      <c r="J167" s="4461"/>
      <c r="K167" s="4461"/>
      <c r="L167" s="4461"/>
      <c r="M167" s="1174"/>
      <c r="N167" s="1682"/>
      <c r="O167" s="1682"/>
      <c r="P167" s="1174"/>
      <c r="Q167" s="1174"/>
      <c r="R167" s="1174"/>
      <c r="S167" s="1174"/>
      <c r="T167" s="1682"/>
      <c r="U167" s="1174"/>
      <c r="V167" s="1174"/>
      <c r="W167" s="552"/>
      <c r="X167" s="1174"/>
      <c r="Y167" s="1174"/>
      <c r="Z167" s="1174"/>
      <c r="AA167" s="1174"/>
      <c r="AB167" s="1174"/>
      <c r="AC167" s="1678"/>
      <c r="AD167" s="574"/>
      <c r="AE167" s="574"/>
      <c r="AF167" s="574"/>
      <c r="AG167" s="574"/>
    </row>
    <row s="4362" customFormat="1" customHeight="1" ht="11.25">
      <c r="A168" s="1000"/>
      <c r="B168" s="1682"/>
      <c r="C168" s="1682"/>
      <c r="D168" s="347"/>
      <c r="J168" s="4461"/>
      <c r="K168" s="4461"/>
      <c r="L168" s="4461"/>
      <c r="M168" s="1174"/>
      <c r="N168" s="1682"/>
      <c r="O168" s="1682"/>
      <c r="P168" s="1174"/>
      <c r="Q168" s="1174"/>
      <c r="R168" s="1174"/>
      <c r="S168" s="1174"/>
      <c r="T168" s="1682"/>
      <c r="U168" s="1174"/>
      <c r="V168" s="1174"/>
      <c r="W168" s="552"/>
      <c r="X168" s="1174"/>
      <c r="Y168" s="1174"/>
      <c r="Z168" s="1174"/>
      <c r="AA168" s="1174"/>
      <c r="AB168" s="1174"/>
      <c r="AC168" s="1678"/>
      <c r="AD168" s="574"/>
      <c r="AE168" s="574"/>
      <c r="AF168" s="574"/>
      <c r="AG168" s="574"/>
    </row>
    <row s="4362" customFormat="1" customHeight="1" ht="11.25">
      <c r="A169" s="1000"/>
      <c r="B169" s="1682"/>
      <c r="C169" s="1682"/>
      <c r="D169" s="347"/>
      <c r="J169" s="4461"/>
      <c r="K169" s="4461"/>
      <c r="L169" s="4461"/>
      <c r="M169" s="1174"/>
      <c r="N169" s="1682"/>
      <c r="O169" s="1682"/>
      <c r="P169" s="1174"/>
      <c r="Q169" s="1174"/>
      <c r="R169" s="1174"/>
      <c r="S169" s="1174"/>
      <c r="T169" s="1682"/>
      <c r="U169" s="1174"/>
      <c r="V169" s="1174"/>
      <c r="W169" s="552"/>
      <c r="X169" s="1174"/>
      <c r="Y169" s="1174"/>
      <c r="Z169" s="1174"/>
      <c r="AA169" s="1174"/>
      <c r="AB169" s="1174"/>
      <c r="AC169" s="1678"/>
      <c r="AD169" s="574"/>
      <c r="AE169" s="574"/>
      <c r="AF169" s="574"/>
      <c r="AG169" s="574"/>
    </row>
    <row s="4362" customFormat="1" customHeight="1" ht="11.25">
      <c r="A170" s="1000"/>
      <c r="B170" s="1682"/>
      <c r="C170" s="1682"/>
      <c r="D170" s="347"/>
      <c r="J170" s="4461"/>
      <c r="K170" s="4461"/>
      <c r="L170" s="4461"/>
      <c r="M170" s="1174"/>
      <c r="N170" s="1682"/>
      <c r="O170" s="1682"/>
      <c r="P170" s="1174"/>
      <c r="Q170" s="1174"/>
      <c r="R170" s="1174"/>
      <c r="S170" s="1174"/>
      <c r="T170" s="1682"/>
      <c r="U170" s="1174"/>
      <c r="V170" s="1174"/>
      <c r="W170" s="552"/>
      <c r="X170" s="1174"/>
      <c r="Y170" s="1174"/>
      <c r="Z170" s="1174"/>
      <c r="AA170" s="1174"/>
      <c r="AB170" s="1174"/>
      <c r="AC170" s="1678"/>
      <c r="AD170" s="574"/>
      <c r="AE170" s="574"/>
      <c r="AF170" s="574"/>
      <c r="AG170" s="574"/>
    </row>
    <row s="4362" customFormat="1" customHeight="1" ht="11.25">
      <c r="A171" s="1000"/>
      <c r="B171" s="1682"/>
      <c r="C171" s="1682"/>
      <c r="D171" s="347"/>
      <c r="J171" s="4461"/>
      <c r="K171" s="4461"/>
      <c r="L171" s="4461"/>
      <c r="M171" s="1174"/>
      <c r="N171" s="1682"/>
      <c r="O171" s="1682"/>
      <c r="P171" s="1174"/>
      <c r="Q171" s="1174"/>
      <c r="R171" s="1174"/>
      <c r="S171" s="1174"/>
      <c r="T171" s="1682"/>
      <c r="U171" s="1174"/>
      <c r="V171" s="1174"/>
      <c r="W171" s="552"/>
      <c r="X171" s="1174"/>
      <c r="Y171" s="1174"/>
      <c r="Z171" s="1174"/>
      <c r="AA171" s="1174"/>
      <c r="AB171" s="1174"/>
      <c r="AC171" s="1678"/>
      <c r="AD171" s="574"/>
      <c r="AE171" s="574"/>
      <c r="AF171" s="574"/>
      <c r="AG171" s="574"/>
    </row>
    <row s="4362" customFormat="1" customHeight="1" ht="11.25">
      <c r="A172" s="1000"/>
      <c r="B172" s="1682"/>
      <c r="C172" s="1682"/>
      <c r="D172" s="347"/>
      <c r="J172" s="4461"/>
      <c r="K172" s="4461"/>
      <c r="L172" s="4461"/>
      <c r="M172" s="1174"/>
      <c r="N172" s="1682"/>
      <c r="O172" s="1682"/>
      <c r="P172" s="1174"/>
      <c r="Q172" s="1174"/>
      <c r="R172" s="1174"/>
      <c r="S172" s="1174"/>
      <c r="T172" s="1682"/>
      <c r="U172" s="1174"/>
      <c r="V172" s="1174"/>
      <c r="W172" s="552"/>
      <c r="X172" s="1174"/>
      <c r="Y172" s="1174"/>
      <c r="Z172" s="1174"/>
      <c r="AA172" s="1174"/>
      <c r="AB172" s="1174"/>
      <c r="AC172" s="1678"/>
      <c r="AD172" s="574"/>
      <c r="AE172" s="574"/>
      <c r="AF172" s="574"/>
      <c r="AG172" s="574"/>
    </row>
    <row s="4362" customFormat="1" customHeight="1" ht="11.25">
      <c r="A173" s="1000"/>
      <c r="B173" s="1682"/>
      <c r="C173" s="1682"/>
      <c r="D173" s="347"/>
      <c r="J173" s="4461"/>
      <c r="K173" s="4461"/>
      <c r="L173" s="4461"/>
      <c r="M173" s="1174"/>
      <c r="N173" s="1682"/>
      <c r="O173" s="1682"/>
      <c r="P173" s="1174"/>
      <c r="Q173" s="1174"/>
      <c r="R173" s="1174"/>
      <c r="S173" s="1174"/>
      <c r="T173" s="1682"/>
      <c r="U173" s="1174"/>
      <c r="V173" s="1174"/>
      <c r="W173" s="552"/>
      <c r="X173" s="1174"/>
      <c r="Y173" s="1174"/>
      <c r="Z173" s="1174"/>
      <c r="AA173" s="1174"/>
      <c r="AB173" s="1174"/>
      <c r="AC173" s="1678"/>
      <c r="AD173" s="574"/>
      <c r="AE173" s="574"/>
      <c r="AF173" s="574"/>
      <c r="AG173" s="574"/>
    </row>
    <row s="4362" customFormat="1" customHeight="1" ht="11.25">
      <c r="A174" s="1000"/>
      <c r="B174" s="1682"/>
      <c r="C174" s="1682"/>
      <c r="D174" s="347"/>
      <c r="J174" s="4461"/>
      <c r="K174" s="4461"/>
      <c r="L174" s="4461"/>
      <c r="M174" s="1174"/>
      <c r="N174" s="1682"/>
      <c r="O174" s="1682"/>
      <c r="P174" s="1174"/>
      <c r="Q174" s="1174"/>
      <c r="R174" s="1174"/>
      <c r="S174" s="1174"/>
      <c r="T174" s="1682"/>
      <c r="U174" s="1174"/>
      <c r="V174" s="1174"/>
      <c r="W174" s="552"/>
      <c r="X174" s="1174"/>
      <c r="Y174" s="1174"/>
      <c r="Z174" s="1174"/>
      <c r="AA174" s="1174"/>
      <c r="AB174" s="1174"/>
      <c r="AC174" s="1678"/>
      <c r="AD174" s="574"/>
      <c r="AE174" s="574"/>
      <c r="AF174" s="574"/>
      <c r="AG174" s="574"/>
    </row>
    <row s="4362" customFormat="1" customHeight="1" ht="11.25">
      <c r="A175" s="1000"/>
      <c r="B175" s="1682"/>
      <c r="C175" s="1682"/>
      <c r="D175" s="347"/>
      <c r="J175" s="4461"/>
      <c r="K175" s="4461"/>
      <c r="L175" s="4461"/>
      <c r="M175" s="1174"/>
      <c r="N175" s="1682"/>
      <c r="O175" s="1682"/>
      <c r="P175" s="1174"/>
      <c r="Q175" s="1174"/>
      <c r="R175" s="1174"/>
      <c r="S175" s="1174"/>
      <c r="T175" s="1682"/>
      <c r="U175" s="1174"/>
      <c r="V175" s="1174"/>
      <c r="W175" s="552"/>
      <c r="X175" s="1174"/>
      <c r="Y175" s="1174"/>
      <c r="Z175" s="1174"/>
      <c r="AA175" s="1174"/>
      <c r="AB175" s="1174"/>
      <c r="AC175" s="1678"/>
      <c r="AD175" s="574"/>
      <c r="AE175" s="574"/>
      <c r="AF175" s="574"/>
      <c r="AG175" s="574"/>
    </row>
    <row s="4362" customFormat="1" customHeight="1" ht="11.25">
      <c r="A176" s="1000"/>
      <c r="B176" s="1682"/>
      <c r="C176" s="1682"/>
      <c r="D176" s="347"/>
      <c r="J176" s="4461"/>
      <c r="K176" s="4461"/>
      <c r="L176" s="4461"/>
      <c r="M176" s="1174"/>
      <c r="N176" s="1682"/>
      <c r="O176" s="1682"/>
      <c r="P176" s="1174"/>
      <c r="Q176" s="1174"/>
      <c r="R176" s="1174"/>
      <c r="S176" s="1174"/>
      <c r="T176" s="1682"/>
      <c r="U176" s="1174"/>
      <c r="V176" s="1174"/>
      <c r="W176" s="552"/>
      <c r="X176" s="1174"/>
      <c r="Y176" s="1174"/>
      <c r="Z176" s="1174"/>
      <c r="AA176" s="1174"/>
      <c r="AB176" s="1174"/>
      <c r="AC176" s="1678"/>
      <c r="AD176" s="574"/>
      <c r="AE176" s="574"/>
      <c r="AF176" s="574"/>
      <c r="AG176" s="574"/>
    </row>
    <row s="4362" customFormat="1" customHeight="1" ht="11.25">
      <c r="A177" s="1000"/>
      <c r="B177" s="1682"/>
      <c r="C177" s="1682"/>
      <c r="D177" s="347"/>
      <c r="J177" s="4461"/>
      <c r="K177" s="4461"/>
      <c r="L177" s="4461"/>
      <c r="M177" s="1174"/>
      <c r="N177" s="1682"/>
      <c r="O177" s="1682"/>
      <c r="P177" s="1174"/>
      <c r="Q177" s="1174"/>
      <c r="R177" s="1174"/>
      <c r="S177" s="1174"/>
      <c r="T177" s="1682"/>
      <c r="U177" s="1174"/>
      <c r="V177" s="1174"/>
      <c r="W177" s="552"/>
      <c r="X177" s="1174"/>
      <c r="Y177" s="1174"/>
      <c r="Z177" s="1174"/>
      <c r="AA177" s="1174"/>
      <c r="AB177" s="1174"/>
      <c r="AC177" s="1678"/>
      <c r="AD177" s="574"/>
      <c r="AE177" s="574"/>
      <c r="AF177" s="574"/>
      <c r="AG177" s="574"/>
    </row>
    <row s="4362" customFormat="1" customHeight="1" ht="11.25">
      <c r="A178" s="1000"/>
      <c r="B178" s="1682"/>
      <c r="C178" s="1682"/>
      <c r="D178" s="347"/>
      <c r="J178" s="4461"/>
      <c r="K178" s="4461"/>
      <c r="L178" s="4461"/>
      <c r="M178" s="1174"/>
      <c r="N178" s="1682"/>
      <c r="O178" s="1682"/>
      <c r="P178" s="1174"/>
      <c r="Q178" s="1174"/>
      <c r="R178" s="1174"/>
      <c r="S178" s="1174"/>
      <c r="T178" s="1682"/>
      <c r="U178" s="1174"/>
      <c r="V178" s="1174"/>
      <c r="W178" s="552"/>
      <c r="X178" s="1174"/>
      <c r="Y178" s="1174"/>
      <c r="Z178" s="1174"/>
      <c r="AA178" s="1174"/>
      <c r="AB178" s="1174"/>
      <c r="AC178" s="1678"/>
      <c r="AD178" s="574"/>
      <c r="AE178" s="574"/>
      <c r="AF178" s="574"/>
      <c r="AG178" s="574"/>
    </row>
    <row s="4362" customFormat="1" customHeight="1" ht="11.25">
      <c r="A179" s="1000"/>
      <c r="B179" s="1682"/>
      <c r="C179" s="1682"/>
      <c r="D179" s="347"/>
      <c r="J179" s="4461"/>
      <c r="K179" s="4461"/>
      <c r="L179" s="4461"/>
      <c r="M179" s="1174"/>
      <c r="N179" s="1682"/>
      <c r="O179" s="1682"/>
      <c r="P179" s="1174"/>
      <c r="Q179" s="1174"/>
      <c r="R179" s="1174"/>
      <c r="S179" s="1174"/>
      <c r="T179" s="1682"/>
      <c r="U179" s="1174"/>
      <c r="V179" s="1174"/>
      <c r="W179" s="552"/>
      <c r="X179" s="1174"/>
      <c r="Y179" s="1174"/>
      <c r="Z179" s="1174"/>
      <c r="AA179" s="1174"/>
      <c r="AB179" s="1174"/>
      <c r="AC179" s="1678"/>
      <c r="AD179" s="574"/>
      <c r="AE179" s="574"/>
      <c r="AF179" s="574"/>
      <c r="AG179" s="574"/>
    </row>
    <row s="4362" customFormat="1" customHeight="1" ht="11.25">
      <c r="A180" s="1000"/>
      <c r="B180" s="1682"/>
      <c r="C180" s="1682"/>
      <c r="D180" s="347"/>
      <c r="J180" s="4461"/>
      <c r="K180" s="4461"/>
      <c r="L180" s="4461"/>
      <c r="M180" s="1174"/>
      <c r="N180" s="1682"/>
      <c r="O180" s="1682"/>
      <c r="P180" s="1174"/>
      <c r="Q180" s="1174"/>
      <c r="R180" s="1174"/>
      <c r="S180" s="1174"/>
      <c r="T180" s="1682"/>
      <c r="U180" s="1174"/>
      <c r="V180" s="1174"/>
      <c r="W180" s="552"/>
      <c r="X180" s="1174"/>
      <c r="Y180" s="1174"/>
      <c r="Z180" s="1174"/>
      <c r="AA180" s="1174"/>
      <c r="AB180" s="1174"/>
      <c r="AC180" s="1678"/>
      <c r="AD180" s="574"/>
      <c r="AE180" s="574"/>
      <c r="AF180" s="574"/>
      <c r="AG180" s="574"/>
    </row>
    <row s="4362" customFormat="1" customHeight="1" ht="11.25">
      <c r="A181" s="1000"/>
      <c r="B181" s="1682"/>
      <c r="C181" s="1682"/>
      <c r="D181" s="347"/>
      <c r="J181" s="4461"/>
      <c r="K181" s="4461"/>
      <c r="L181" s="4461"/>
      <c r="M181" s="1174"/>
      <c r="N181" s="1682"/>
      <c r="O181" s="1682"/>
      <c r="P181" s="1174"/>
      <c r="Q181" s="1174"/>
      <c r="R181" s="1174"/>
      <c r="S181" s="1174"/>
      <c r="T181" s="1682"/>
      <c r="U181" s="1174"/>
      <c r="V181" s="1174"/>
      <c r="W181" s="552"/>
      <c r="X181" s="1174"/>
      <c r="Y181" s="1174"/>
      <c r="Z181" s="1174"/>
      <c r="AA181" s="1174"/>
      <c r="AB181" s="1174"/>
      <c r="AC181" s="1678"/>
      <c r="AD181" s="574"/>
      <c r="AE181" s="574"/>
      <c r="AF181" s="574"/>
      <c r="AG181" s="574"/>
    </row>
    <row s="4362" customFormat="1" customHeight="1" ht="11.25">
      <c r="A182" s="1000"/>
      <c r="B182" s="1682"/>
      <c r="C182" s="1682"/>
      <c r="D182" s="347"/>
      <c r="J182" s="4461"/>
      <c r="K182" s="4461"/>
      <c r="L182" s="4461"/>
      <c r="M182" s="1174"/>
      <c r="N182" s="1682"/>
      <c r="O182" s="1682"/>
      <c r="P182" s="1174"/>
      <c r="Q182" s="1174"/>
      <c r="R182" s="1174"/>
      <c r="S182" s="1174"/>
      <c r="T182" s="1682"/>
      <c r="U182" s="1174"/>
      <c r="V182" s="1174"/>
      <c r="W182" s="552"/>
      <c r="X182" s="1174"/>
      <c r="Y182" s="1174"/>
      <c r="Z182" s="1174"/>
      <c r="AA182" s="1174"/>
      <c r="AB182" s="1174"/>
      <c r="AC182" s="1678"/>
      <c r="AD182" s="574"/>
      <c r="AE182" s="574"/>
      <c r="AF182" s="574"/>
      <c r="AG182" s="574"/>
    </row>
    <row s="4362" customFormat="1" customHeight="1" ht="11.25">
      <c r="A183" s="1000"/>
      <c r="B183" s="1682"/>
      <c r="C183" s="1682"/>
      <c r="D183" s="347"/>
      <c r="J183" s="4461"/>
      <c r="K183" s="4461"/>
      <c r="L183" s="4461"/>
      <c r="M183" s="1174"/>
      <c r="N183" s="1682"/>
      <c r="O183" s="1682"/>
      <c r="P183" s="1174"/>
      <c r="Q183" s="1174"/>
      <c r="R183" s="1174"/>
      <c r="S183" s="1174"/>
      <c r="T183" s="1682"/>
      <c r="U183" s="1174"/>
      <c r="V183" s="1174"/>
      <c r="W183" s="552"/>
      <c r="X183" s="1174"/>
      <c r="Y183" s="1174"/>
      <c r="Z183" s="1174"/>
      <c r="AA183" s="1174"/>
      <c r="AB183" s="1174"/>
      <c r="AC183" s="1678"/>
      <c r="AD183" s="574"/>
      <c r="AE183" s="574"/>
      <c r="AF183" s="574"/>
      <c r="AG183" s="574"/>
    </row>
    <row s="4362" customFormat="1" customHeight="1" ht="11.25">
      <c r="A184" s="1000"/>
      <c r="B184" s="1682"/>
      <c r="C184" s="1682"/>
      <c r="D184" s="347"/>
      <c r="J184" s="4461"/>
      <c r="K184" s="4461"/>
      <c r="L184" s="4461"/>
      <c r="M184" s="1174"/>
      <c r="N184" s="1682"/>
      <c r="O184" s="1682"/>
      <c r="P184" s="1174"/>
      <c r="Q184" s="1174"/>
      <c r="R184" s="1174"/>
      <c r="S184" s="1174"/>
      <c r="T184" s="1682"/>
      <c r="U184" s="1174"/>
      <c r="V184" s="1174"/>
      <c r="W184" s="552"/>
      <c r="X184" s="1174"/>
      <c r="Y184" s="1174"/>
      <c r="Z184" s="1174"/>
      <c r="AA184" s="1174"/>
      <c r="AB184" s="1174"/>
      <c r="AC184" s="1678"/>
      <c r="AD184" s="574"/>
      <c r="AE184" s="574"/>
      <c r="AF184" s="574"/>
      <c r="AG184" s="574"/>
    </row>
    <row s="4362" customFormat="1" customHeight="1" ht="11.25">
      <c r="A185" s="1000"/>
      <c r="B185" s="1682"/>
      <c r="C185" s="1682"/>
      <c r="D185" s="347"/>
      <c r="J185" s="4461"/>
      <c r="K185" s="4461"/>
      <c r="L185" s="4461"/>
      <c r="M185" s="1174"/>
      <c r="N185" s="1682"/>
      <c r="O185" s="1682"/>
      <c r="P185" s="1174"/>
      <c r="Q185" s="1174"/>
      <c r="R185" s="1174"/>
      <c r="S185" s="1174"/>
      <c r="T185" s="1682"/>
      <c r="U185" s="1174"/>
      <c r="V185" s="1174"/>
      <c r="W185" s="552"/>
      <c r="X185" s="1174"/>
      <c r="Y185" s="1174"/>
      <c r="Z185" s="1174"/>
      <c r="AA185" s="1174"/>
      <c r="AB185" s="1174"/>
      <c r="AC185" s="1678"/>
      <c r="AD185" s="574"/>
      <c r="AE185" s="574"/>
      <c r="AF185" s="574"/>
      <c r="AG185" s="574"/>
    </row>
    <row s="4362" customFormat="1" customHeight="1" ht="11.25">
      <c r="A186" s="1000"/>
      <c r="B186" s="1682"/>
      <c r="C186" s="1682"/>
      <c r="D186" s="347"/>
      <c r="J186" s="4461"/>
      <c r="K186" s="4461"/>
      <c r="L186" s="4461"/>
      <c r="M186" s="1174"/>
      <c r="N186" s="1682"/>
      <c r="O186" s="1682"/>
      <c r="P186" s="1174"/>
      <c r="Q186" s="1174"/>
      <c r="R186" s="1174"/>
      <c r="S186" s="1174"/>
      <c r="T186" s="1682"/>
      <c r="U186" s="1174"/>
      <c r="V186" s="1174"/>
      <c r="W186" s="552"/>
      <c r="X186" s="1174"/>
      <c r="Y186" s="1174"/>
      <c r="Z186" s="1174"/>
      <c r="AA186" s="1174"/>
      <c r="AB186" s="1174"/>
      <c r="AC186" s="1678"/>
      <c r="AD186" s="574"/>
      <c r="AE186" s="574"/>
      <c r="AF186" s="574"/>
      <c r="AG186" s="574"/>
    </row>
    <row s="4362" customFormat="1" customHeight="1" ht="11.25">
      <c r="A187" s="1000"/>
      <c r="B187" s="1682"/>
      <c r="C187" s="1682"/>
      <c r="D187" s="347"/>
      <c r="J187" s="4461"/>
      <c r="K187" s="4461"/>
      <c r="L187" s="4461"/>
      <c r="M187" s="1174"/>
      <c r="N187" s="1682"/>
      <c r="O187" s="1682"/>
      <c r="P187" s="1174"/>
      <c r="Q187" s="1174"/>
      <c r="R187" s="1174"/>
      <c r="S187" s="1174"/>
      <c r="T187" s="1682"/>
      <c r="U187" s="1174"/>
      <c r="V187" s="1174"/>
      <c r="W187" s="552"/>
      <c r="X187" s="1174"/>
      <c r="Y187" s="1174"/>
      <c r="Z187" s="1174"/>
      <c r="AA187" s="1174"/>
      <c r="AB187" s="1174"/>
      <c r="AC187" s="1678"/>
      <c r="AD187" s="574"/>
      <c r="AE187" s="574"/>
      <c r="AF187" s="574"/>
      <c r="AG187" s="574"/>
    </row>
    <row s="4362" customFormat="1" customHeight="1" ht="11.25">
      <c r="A188" s="1000"/>
      <c r="B188" s="1682"/>
      <c r="C188" s="1682"/>
      <c r="D188" s="347"/>
      <c r="J188" s="4461"/>
      <c r="K188" s="4461"/>
      <c r="L188" s="4461"/>
      <c r="M188" s="1174"/>
      <c r="N188" s="1682"/>
      <c r="O188" s="1682"/>
      <c r="P188" s="1174"/>
      <c r="Q188" s="1174"/>
      <c r="R188" s="1174"/>
      <c r="S188" s="1174"/>
      <c r="T188" s="1682"/>
      <c r="U188" s="1174"/>
      <c r="V188" s="1174"/>
      <c r="W188" s="552"/>
      <c r="X188" s="1174"/>
      <c r="Y188" s="1174"/>
      <c r="Z188" s="1174"/>
      <c r="AA188" s="1174"/>
      <c r="AB188" s="1174"/>
      <c r="AC188" s="1678"/>
      <c r="AD188" s="574"/>
      <c r="AE188" s="574"/>
      <c r="AF188" s="574"/>
      <c r="AG188" s="574"/>
    </row>
    <row s="4362" customFormat="1" customHeight="1" ht="11.25">
      <c r="A189" s="1000"/>
      <c r="B189" s="1682"/>
      <c r="C189" s="1682"/>
      <c r="D189" s="347"/>
      <c r="J189" s="4461"/>
      <c r="K189" s="4461"/>
      <c r="L189" s="4461"/>
      <c r="M189" s="1174"/>
      <c r="N189" s="1682"/>
      <c r="O189" s="1682"/>
      <c r="P189" s="1174"/>
      <c r="Q189" s="1174"/>
      <c r="R189" s="1174"/>
      <c r="S189" s="1174"/>
      <c r="T189" s="1682"/>
      <c r="U189" s="1174"/>
      <c r="V189" s="1174"/>
      <c r="W189" s="552"/>
      <c r="X189" s="1174"/>
      <c r="Y189" s="1174"/>
      <c r="Z189" s="1174"/>
      <c r="AA189" s="1174"/>
      <c r="AB189" s="1174"/>
      <c r="AC189" s="1678"/>
      <c r="AD189" s="574"/>
      <c r="AE189" s="574"/>
      <c r="AF189" s="574"/>
      <c r="AG189" s="574"/>
    </row>
    <row s="4362" customFormat="1" customHeight="1" ht="11.25">
      <c r="A190" s="1000"/>
      <c r="B190" s="1682"/>
      <c r="C190" s="1682"/>
      <c r="D190" s="347"/>
      <c r="J190" s="4461"/>
      <c r="K190" s="4461"/>
      <c r="L190" s="4461"/>
      <c r="M190" s="1174"/>
      <c r="N190" s="1682"/>
      <c r="O190" s="1682"/>
      <c r="P190" s="1174"/>
      <c r="Q190" s="1174"/>
      <c r="R190" s="1174"/>
      <c r="S190" s="1174"/>
      <c r="T190" s="1682"/>
      <c r="U190" s="1174"/>
      <c r="V190" s="1174"/>
      <c r="W190" s="552"/>
      <c r="X190" s="1174"/>
      <c r="Y190" s="1174"/>
      <c r="Z190" s="1174"/>
      <c r="AA190" s="1174"/>
      <c r="AB190" s="1174"/>
      <c r="AC190" s="1678"/>
      <c r="AD190" s="574"/>
      <c r="AE190" s="574"/>
      <c r="AF190" s="574"/>
      <c r="AG190" s="574"/>
    </row>
    <row s="4362" customFormat="1" customHeight="1" ht="11.25">
      <c r="A191" s="1000"/>
      <c r="B191" s="1682"/>
      <c r="C191" s="1682"/>
      <c r="D191" s="347"/>
      <c r="J191" s="4461"/>
      <c r="K191" s="4461"/>
      <c r="L191" s="4461"/>
      <c r="M191" s="1174"/>
      <c r="N191" s="1682"/>
      <c r="O191" s="1682"/>
      <c r="P191" s="1174"/>
      <c r="Q191" s="1174"/>
      <c r="R191" s="1174"/>
      <c r="S191" s="1174"/>
      <c r="T191" s="1682"/>
      <c r="U191" s="1174"/>
      <c r="V191" s="1174"/>
      <c r="W191" s="552"/>
      <c r="X191" s="1174"/>
      <c r="Y191" s="1174"/>
      <c r="Z191" s="1174"/>
      <c r="AA191" s="1174"/>
      <c r="AB191" s="1174"/>
      <c r="AC191" s="1678"/>
      <c r="AD191" s="574"/>
      <c r="AE191" s="574"/>
      <c r="AF191" s="574"/>
      <c r="AG191" s="574"/>
    </row>
    <row s="4362" customFormat="1" customHeight="1" ht="11.25">
      <c r="A192" s="1000"/>
      <c r="B192" s="1682"/>
      <c r="C192" s="1682"/>
      <c r="D192" s="347"/>
      <c r="J192" s="4461"/>
      <c r="K192" s="4461"/>
      <c r="L192" s="4461"/>
      <c r="M192" s="1174"/>
      <c r="N192" s="1682"/>
      <c r="O192" s="1682"/>
      <c r="P192" s="1174"/>
      <c r="Q192" s="1174"/>
      <c r="R192" s="1174"/>
      <c r="S192" s="1174"/>
      <c r="T192" s="1682"/>
      <c r="U192" s="1174"/>
      <c r="V192" s="1174"/>
      <c r="W192" s="552"/>
      <c r="X192" s="1174"/>
      <c r="Y192" s="1174"/>
      <c r="Z192" s="1174"/>
      <c r="AA192" s="1174"/>
      <c r="AB192" s="1174"/>
      <c r="AC192" s="1678"/>
      <c r="AD192" s="574"/>
      <c r="AE192" s="574"/>
      <c r="AF192" s="574"/>
      <c r="AG192" s="574"/>
    </row>
    <row s="4362" customFormat="1" customHeight="1" ht="11.25">
      <c r="A193" s="1000"/>
      <c r="B193" s="1682"/>
      <c r="C193" s="1682"/>
      <c r="D193" s="347"/>
      <c r="J193" s="4461"/>
      <c r="K193" s="4461"/>
      <c r="L193" s="4461"/>
      <c r="M193" s="1174"/>
      <c r="N193" s="1682"/>
      <c r="O193" s="1682"/>
      <c r="P193" s="1174"/>
      <c r="Q193" s="1174"/>
      <c r="R193" s="1174"/>
      <c r="S193" s="1174"/>
      <c r="T193" s="1682"/>
      <c r="U193" s="1174"/>
      <c r="V193" s="1174"/>
      <c r="W193" s="552"/>
      <c r="X193" s="1174"/>
      <c r="Y193" s="1174"/>
      <c r="Z193" s="1174"/>
      <c r="AA193" s="1174"/>
      <c r="AB193" s="1174"/>
      <c r="AC193" s="1678"/>
      <c r="AD193" s="574"/>
      <c r="AE193" s="574"/>
      <c r="AF193" s="574"/>
      <c r="AG193" s="574"/>
    </row>
    <row s="4362" customFormat="1" customHeight="1" ht="11.25">
      <c r="A194" s="1000"/>
      <c r="B194" s="1682"/>
      <c r="C194" s="1682"/>
      <c r="D194" s="347"/>
      <c r="J194" s="4461"/>
      <c r="K194" s="4461"/>
      <c r="L194" s="4461"/>
      <c r="M194" s="1174"/>
      <c r="N194" s="1682"/>
      <c r="O194" s="1682"/>
      <c r="P194" s="1174"/>
      <c r="Q194" s="1174"/>
      <c r="R194" s="1174"/>
      <c r="S194" s="1174"/>
      <c r="T194" s="1682"/>
      <c r="U194" s="1174"/>
      <c r="V194" s="1174"/>
      <c r="W194" s="552"/>
      <c r="X194" s="1174"/>
      <c r="Y194" s="1174"/>
      <c r="Z194" s="1174"/>
      <c r="AA194" s="1174"/>
      <c r="AB194" s="1174"/>
      <c r="AC194" s="1678"/>
      <c r="AD194" s="574"/>
      <c r="AE194" s="574"/>
      <c r="AF194" s="574"/>
      <c r="AG194" s="574"/>
    </row>
    <row s="4362" customFormat="1" customHeight="1" ht="11.25">
      <c r="A195" s="1000"/>
      <c r="B195" s="1682"/>
      <c r="C195" s="1682"/>
      <c r="D195" s="347"/>
      <c r="J195" s="4461"/>
      <c r="K195" s="4461"/>
      <c r="L195" s="4461"/>
      <c r="M195" s="1174"/>
      <c r="N195" s="1682"/>
      <c r="O195" s="1682"/>
      <c r="P195" s="1174"/>
      <c r="Q195" s="1174"/>
      <c r="R195" s="1174"/>
      <c r="S195" s="1174"/>
      <c r="T195" s="1682"/>
      <c r="U195" s="1174"/>
      <c r="V195" s="1174"/>
      <c r="W195" s="552"/>
      <c r="X195" s="1174"/>
      <c r="Y195" s="1174"/>
      <c r="Z195" s="1174"/>
      <c r="AA195" s="1174"/>
      <c r="AB195" s="1174"/>
      <c r="AC195" s="1678"/>
      <c r="AD195" s="574"/>
      <c r="AE195" s="574"/>
      <c r="AF195" s="574"/>
      <c r="AG195" s="574"/>
    </row>
    <row s="4362" customFormat="1" customHeight="1" ht="11.25">
      <c r="A196" s="1000"/>
      <c r="B196" s="1682"/>
      <c r="C196" s="1682"/>
      <c r="D196" s="347"/>
      <c r="J196" s="4461"/>
      <c r="K196" s="4461"/>
      <c r="L196" s="4461"/>
      <c r="M196" s="1174"/>
      <c r="N196" s="1682"/>
      <c r="O196" s="1682"/>
      <c r="P196" s="1174"/>
      <c r="Q196" s="1174"/>
      <c r="R196" s="1174"/>
      <c r="S196" s="1174"/>
      <c r="T196" s="1682"/>
      <c r="U196" s="1174"/>
      <c r="V196" s="1174"/>
      <c r="W196" s="552"/>
      <c r="X196" s="1174"/>
      <c r="Y196" s="1174"/>
      <c r="Z196" s="1174"/>
      <c r="AA196" s="1174"/>
      <c r="AB196" s="1174"/>
      <c r="AC196" s="1678"/>
      <c r="AD196" s="574"/>
      <c r="AE196" s="574"/>
      <c r="AF196" s="574"/>
      <c r="AG196" s="574"/>
    </row>
    <row s="4362" customFormat="1" customHeight="1" ht="11.25">
      <c r="A197" s="1000"/>
      <c r="B197" s="1682"/>
      <c r="C197" s="1682"/>
      <c r="D197" s="347"/>
      <c r="J197" s="4461"/>
      <c r="K197" s="4461"/>
      <c r="L197" s="4461"/>
      <c r="M197" s="1174"/>
      <c r="N197" s="1682"/>
      <c r="O197" s="1682"/>
      <c r="P197" s="1174"/>
      <c r="Q197" s="1174"/>
      <c r="R197" s="1174"/>
      <c r="S197" s="1174"/>
      <c r="T197" s="1682"/>
      <c r="U197" s="1174"/>
      <c r="V197" s="1174"/>
      <c r="W197" s="552"/>
      <c r="X197" s="1174"/>
      <c r="Y197" s="1174"/>
      <c r="Z197" s="1174"/>
      <c r="AA197" s="1174"/>
      <c r="AB197" s="1174"/>
      <c r="AC197" s="1678"/>
      <c r="AD197" s="574"/>
      <c r="AE197" s="574"/>
      <c r="AF197" s="574"/>
      <c r="AG197" s="574"/>
    </row>
    <row s="4362" customFormat="1" customHeight="1" ht="11.25">
      <c r="A198" s="1000"/>
      <c r="B198" s="1682"/>
      <c r="C198" s="1682"/>
      <c r="D198" s="347"/>
      <c r="J198" s="4461"/>
      <c r="K198" s="4461"/>
      <c r="L198" s="4461"/>
      <c r="M198" s="1174"/>
      <c r="N198" s="1682"/>
      <c r="O198" s="1682"/>
      <c r="P198" s="1174"/>
      <c r="Q198" s="1174"/>
      <c r="R198" s="1174"/>
      <c r="S198" s="1174"/>
      <c r="T198" s="1682"/>
      <c r="U198" s="1174"/>
      <c r="V198" s="1174"/>
      <c r="W198" s="552"/>
      <c r="X198" s="1174"/>
      <c r="Y198" s="1174"/>
      <c r="Z198" s="1174"/>
      <c r="AA198" s="1174"/>
      <c r="AB198" s="1174"/>
      <c r="AC198" s="1678"/>
      <c r="AD198" s="574"/>
      <c r="AE198" s="574"/>
      <c r="AF198" s="574"/>
      <c r="AG198" s="574"/>
    </row>
    <row s="4362" customFormat="1" customHeight="1" ht="11.25">
      <c r="A199" s="1000"/>
      <c r="B199" s="1682"/>
      <c r="C199" s="1682"/>
      <c r="D199" s="347"/>
      <c r="J199" s="4461"/>
      <c r="K199" s="4461"/>
      <c r="L199" s="4461"/>
      <c r="M199" s="1174"/>
      <c r="N199" s="1682"/>
      <c r="O199" s="1682"/>
      <c r="P199" s="1174"/>
      <c r="Q199" s="1174"/>
      <c r="R199" s="1174"/>
      <c r="S199" s="1174"/>
      <c r="T199" s="1682"/>
      <c r="U199" s="1174"/>
      <c r="V199" s="1174"/>
      <c r="W199" s="552"/>
      <c r="X199" s="1174"/>
      <c r="Y199" s="1174"/>
      <c r="Z199" s="1174"/>
      <c r="AA199" s="1174"/>
      <c r="AB199" s="1174"/>
      <c r="AC199" s="1678"/>
      <c r="AD199" s="574"/>
      <c r="AE199" s="574"/>
      <c r="AF199" s="574"/>
      <c r="AG199" s="574"/>
    </row>
    <row s="4362" customFormat="1" customHeight="1" ht="11.25">
      <c r="A200" s="1000"/>
      <c r="B200" s="1682"/>
      <c r="C200" s="1682"/>
      <c r="D200" s="347"/>
      <c r="J200" s="4461"/>
      <c r="K200" s="4461"/>
      <c r="L200" s="4461"/>
      <c r="M200" s="1174"/>
      <c r="N200" s="1682"/>
      <c r="O200" s="1682"/>
      <c r="P200" s="1174"/>
      <c r="Q200" s="1174"/>
      <c r="R200" s="1174"/>
      <c r="S200" s="1174"/>
      <c r="T200" s="1682"/>
      <c r="U200" s="1174"/>
      <c r="V200" s="1174"/>
      <c r="W200" s="552"/>
      <c r="X200" s="1174"/>
      <c r="Y200" s="1174"/>
      <c r="Z200" s="1174"/>
      <c r="AA200" s="1174"/>
      <c r="AB200" s="1174"/>
      <c r="AC200" s="1678"/>
      <c r="AD200" s="574"/>
      <c r="AE200" s="574"/>
      <c r="AF200" s="574"/>
      <c r="AG200" s="574"/>
    </row>
    <row s="4362" customFormat="1" customHeight="1" ht="11.25">
      <c r="A201" s="1000"/>
      <c r="B201" s="1682"/>
      <c r="C201" s="1682"/>
      <c r="D201" s="347"/>
      <c r="J201" s="4461"/>
      <c r="K201" s="4461"/>
      <c r="L201" s="4461"/>
      <c r="M201" s="1174"/>
      <c r="N201" s="1682"/>
      <c r="O201" s="1682"/>
      <c r="P201" s="1174"/>
      <c r="Q201" s="1174"/>
      <c r="R201" s="1174"/>
      <c r="S201" s="1174"/>
      <c r="T201" s="1682"/>
      <c r="U201" s="1174"/>
      <c r="V201" s="1174"/>
      <c r="W201" s="552"/>
      <c r="X201" s="1174"/>
      <c r="Y201" s="1174"/>
      <c r="Z201" s="1174"/>
      <c r="AA201" s="1174"/>
      <c r="AB201" s="1174"/>
      <c r="AC201" s="1678"/>
      <c r="AD201" s="574"/>
      <c r="AE201" s="574"/>
      <c r="AF201" s="574"/>
      <c r="AG201" s="574"/>
    </row>
    <row s="4362" customFormat="1" customHeight="1" ht="11.25">
      <c r="A202" s="1000"/>
      <c r="B202" s="1682"/>
      <c r="C202" s="1682"/>
      <c r="D202" s="347"/>
      <c r="J202" s="4461"/>
      <c r="K202" s="4461"/>
      <c r="L202" s="4461"/>
      <c r="M202" s="1174"/>
      <c r="N202" s="1682"/>
      <c r="O202" s="1682"/>
      <c r="P202" s="1174"/>
      <c r="Q202" s="1174"/>
      <c r="R202" s="1174"/>
      <c r="S202" s="1174"/>
      <c r="T202" s="1682"/>
      <c r="U202" s="1174"/>
      <c r="V202" s="1174"/>
      <c r="W202" s="552"/>
      <c r="X202" s="1174"/>
      <c r="Y202" s="1174"/>
      <c r="Z202" s="1174"/>
      <c r="AA202" s="1174"/>
      <c r="AB202" s="1174"/>
      <c r="AC202" s="1678"/>
      <c r="AD202" s="574"/>
      <c r="AE202" s="574"/>
      <c r="AF202" s="574"/>
      <c r="AG202" s="574"/>
    </row>
    <row s="4362" customFormat="1" customHeight="1" ht="11.25">
      <c r="A203" s="1000"/>
      <c r="B203" s="1682"/>
      <c r="C203" s="1682"/>
      <c r="D203" s="347"/>
      <c r="J203" s="4461"/>
      <c r="K203" s="4461"/>
      <c r="L203" s="4461"/>
      <c r="M203" s="1174"/>
      <c r="N203" s="1682"/>
      <c r="O203" s="1682"/>
      <c r="P203" s="1174"/>
      <c r="Q203" s="1174"/>
      <c r="R203" s="1174"/>
      <c r="S203" s="1174"/>
      <c r="T203" s="1682"/>
      <c r="U203" s="1174"/>
      <c r="V203" s="1174"/>
      <c r="W203" s="552"/>
      <c r="X203" s="1174"/>
      <c r="Y203" s="1174"/>
      <c r="Z203" s="1174"/>
      <c r="AA203" s="1174"/>
      <c r="AB203" s="1174"/>
      <c r="AC203" s="1678"/>
      <c r="AD203" s="574"/>
      <c r="AE203" s="574"/>
      <c r="AF203" s="574"/>
      <c r="AG203" s="574"/>
    </row>
    <row s="4362" customFormat="1" customHeight="1" ht="11.25">
      <c r="A204" s="1000"/>
      <c r="B204" s="1682"/>
      <c r="C204" s="1682"/>
      <c r="D204" s="347"/>
      <c r="J204" s="4461"/>
      <c r="K204" s="4461"/>
      <c r="L204" s="4461"/>
      <c r="M204" s="1174"/>
      <c r="N204" s="1682"/>
      <c r="O204" s="1682"/>
      <c r="P204" s="1174"/>
      <c r="Q204" s="1174"/>
      <c r="R204" s="1174"/>
      <c r="S204" s="1174"/>
      <c r="T204" s="1682"/>
      <c r="U204" s="1174"/>
      <c r="V204" s="1174"/>
      <c r="W204" s="552"/>
      <c r="X204" s="1174"/>
      <c r="Y204" s="1174"/>
      <c r="Z204" s="1174"/>
      <c r="AA204" s="1174"/>
      <c r="AB204" s="1174"/>
      <c r="AC204" s="1678"/>
      <c r="AD204" s="574"/>
      <c r="AE204" s="574"/>
      <c r="AF204" s="574"/>
      <c r="AG204" s="574"/>
    </row>
    <row customHeight="1" ht="11.25">
      <c r="J205" s="4122"/>
      <c r="K205" s="4122"/>
      <c r="L205" s="4122"/>
    </row>
    <row customHeight="1" ht="11.25">
      <c r="J206" s="4122"/>
      <c r="K206" s="4122"/>
      <c r="L206" s="4122"/>
    </row>
    <row customHeight="1" ht="11.25">
      <c r="J207" s="4122"/>
      <c r="K207" s="4122"/>
      <c r="L207" s="4122"/>
    </row>
    <row customHeight="1" ht="11.25">
      <c r="A208" s="1003"/>
      <c r="B208" s="1677"/>
      <c r="D208" s="1677"/>
      <c r="J208" s="4122"/>
      <c r="K208" s="4122"/>
      <c r="L208" s="4122"/>
      <c r="M208" s="1677"/>
      <c r="P208" s="1677"/>
      <c r="Q208" s="1677"/>
      <c r="R208" s="1677"/>
      <c r="S208" s="1677"/>
      <c r="U208" s="1677"/>
      <c r="V208" s="1677"/>
      <c r="W208" s="1677"/>
      <c r="X208" s="1677"/>
      <c r="Y208" s="1677"/>
      <c r="Z208" s="1677"/>
      <c r="AA208" s="1677"/>
      <c r="AB208" s="1677"/>
      <c r="AC208" s="1677"/>
      <c r="AD208" s="1677"/>
      <c r="AE208" s="1677"/>
      <c r="AF208" s="1677"/>
      <c r="AG208" s="1677"/>
    </row>
    <row customHeight="1" ht="11.25">
      <c r="A209" s="1003"/>
      <c r="B209" s="1677"/>
      <c r="D209" s="1677"/>
      <c r="J209" s="4122"/>
      <c r="K209" s="4122"/>
      <c r="L209" s="4122"/>
      <c r="M209" s="1677"/>
      <c r="P209" s="1677"/>
      <c r="Q209" s="1677"/>
      <c r="R209" s="1677"/>
      <c r="S209" s="1677"/>
      <c r="U209" s="1677"/>
      <c r="V209" s="1677"/>
      <c r="W209" s="1677"/>
      <c r="X209" s="1677"/>
      <c r="Y209" s="1677"/>
      <c r="Z209" s="1677"/>
      <c r="AA209" s="1677"/>
      <c r="AB209" s="1677"/>
      <c r="AC209" s="1677"/>
      <c r="AD209" s="1677"/>
      <c r="AE209" s="1677"/>
      <c r="AF209" s="1677"/>
      <c r="AG209" s="1677"/>
    </row>
    <row customHeight="1" ht="11.25">
      <c r="A210" s="1003"/>
      <c r="B210" s="1677"/>
      <c r="D210" s="1677"/>
      <c r="J210" s="4122"/>
      <c r="K210" s="4122"/>
      <c r="L210" s="4122"/>
      <c r="M210" s="1677"/>
      <c r="P210" s="1677"/>
      <c r="Q210" s="1677"/>
      <c r="R210" s="1677"/>
      <c r="S210" s="1677"/>
      <c r="U210" s="1677"/>
      <c r="V210" s="1677"/>
      <c r="W210" s="1677"/>
      <c r="X210" s="1677"/>
      <c r="Y210" s="1677"/>
      <c r="Z210" s="1677"/>
      <c r="AA210" s="1677"/>
      <c r="AB210" s="1677"/>
      <c r="AC210" s="1677"/>
      <c r="AD210" s="1677"/>
      <c r="AE210" s="1677"/>
      <c r="AF210" s="1677"/>
      <c r="AG210" s="1677"/>
    </row>
    <row customHeight="1" ht="11.25">
      <c r="A211" s="1003"/>
      <c r="B211" s="1677"/>
      <c r="D211" s="1677"/>
      <c r="J211" s="4122"/>
      <c r="K211" s="4122"/>
      <c r="L211" s="4122"/>
      <c r="M211" s="1677"/>
      <c r="P211" s="1677"/>
      <c r="Q211" s="1677"/>
      <c r="R211" s="1677"/>
      <c r="S211" s="1677"/>
      <c r="U211" s="1677"/>
      <c r="V211" s="1677"/>
      <c r="W211" s="1677"/>
      <c r="X211" s="1677"/>
      <c r="Y211" s="1677"/>
      <c r="Z211" s="1677"/>
      <c r="AA211" s="1677"/>
      <c r="AB211" s="1677"/>
      <c r="AC211" s="1677"/>
      <c r="AD211" s="1677"/>
      <c r="AE211" s="1677"/>
      <c r="AF211" s="1677"/>
      <c r="AG211" s="1677"/>
    </row>
    <row customHeight="1" ht="11.25">
      <c r="A212" s="1003"/>
      <c r="B212" s="1677"/>
      <c r="D212" s="1677"/>
      <c r="J212" s="4122"/>
      <c r="K212" s="4122"/>
      <c r="L212" s="4122"/>
      <c r="M212" s="1677"/>
      <c r="P212" s="1677"/>
      <c r="Q212" s="1677"/>
      <c r="R212" s="1677"/>
      <c r="S212" s="1677"/>
      <c r="U212" s="1677"/>
      <c r="V212" s="1677"/>
      <c r="W212" s="1677"/>
      <c r="X212" s="1677"/>
      <c r="Y212" s="1677"/>
      <c r="Z212" s="1677"/>
      <c r="AA212" s="1677"/>
      <c r="AB212" s="1677"/>
      <c r="AC212" s="1677"/>
      <c r="AD212" s="1677"/>
      <c r="AE212" s="1677"/>
      <c r="AF212" s="1677"/>
      <c r="AG212" s="1677"/>
    </row>
    <row customHeight="1" ht="11.25">
      <c r="A213" s="1003"/>
      <c r="B213" s="1677"/>
      <c r="D213" s="1677"/>
      <c r="J213" s="4122"/>
      <c r="K213" s="4122"/>
      <c r="L213" s="4122"/>
      <c r="M213" s="1677"/>
      <c r="P213" s="1677"/>
      <c r="Q213" s="1677"/>
      <c r="R213" s="1677"/>
      <c r="S213" s="1677"/>
      <c r="U213" s="1677"/>
      <c r="V213" s="1677"/>
      <c r="W213" s="1677"/>
      <c r="X213" s="1677"/>
      <c r="Y213" s="1677"/>
      <c r="Z213" s="1677"/>
      <c r="AA213" s="1677"/>
      <c r="AB213" s="1677"/>
      <c r="AC213" s="1677"/>
      <c r="AD213" s="1677"/>
      <c r="AE213" s="1677"/>
      <c r="AF213" s="1677"/>
      <c r="AG213" s="1677"/>
    </row>
    <row customHeight="1" ht="11.25">
      <c r="A214" s="1003"/>
      <c r="B214" s="1677"/>
      <c r="D214" s="1677"/>
      <c r="J214" s="4122"/>
      <c r="K214" s="4122"/>
      <c r="L214" s="4122"/>
      <c r="M214" s="1677"/>
      <c r="P214" s="1677"/>
      <c r="Q214" s="1677"/>
      <c r="R214" s="1677"/>
      <c r="S214" s="1677"/>
      <c r="U214" s="1677"/>
      <c r="V214" s="1677"/>
      <c r="W214" s="1677"/>
      <c r="X214" s="1677"/>
      <c r="Y214" s="1677"/>
      <c r="Z214" s="1677"/>
      <c r="AA214" s="1677"/>
      <c r="AB214" s="1677"/>
      <c r="AC214" s="1677"/>
      <c r="AD214" s="1677"/>
      <c r="AE214" s="1677"/>
      <c r="AF214" s="1677"/>
      <c r="AG214" s="1677"/>
    </row>
    <row customHeight="1" ht="11.25">
      <c r="A215" s="1003"/>
      <c r="B215" s="1677"/>
      <c r="D215" s="1677"/>
      <c r="J215" s="4122"/>
      <c r="K215" s="4122"/>
      <c r="L215" s="4122"/>
      <c r="M215" s="1677"/>
      <c r="P215" s="1677"/>
      <c r="Q215" s="1677"/>
      <c r="R215" s="1677"/>
      <c r="S215" s="1677"/>
      <c r="U215" s="1677"/>
      <c r="V215" s="1677"/>
      <c r="W215" s="1677"/>
      <c r="X215" s="1677"/>
      <c r="Y215" s="1677"/>
      <c r="Z215" s="1677"/>
      <c r="AA215" s="1677"/>
      <c r="AB215" s="1677"/>
      <c r="AC215" s="1677"/>
      <c r="AD215" s="1677"/>
      <c r="AE215" s="1677"/>
      <c r="AF215" s="1677"/>
      <c r="AG215" s="1677"/>
    </row>
    <row customHeight="1" ht="11.25">
      <c r="A216" s="1003"/>
      <c r="B216" s="1677"/>
      <c r="D216" s="1677"/>
      <c r="J216" s="4122"/>
      <c r="K216" s="4122"/>
      <c r="L216" s="4122"/>
      <c r="M216" s="1677"/>
      <c r="P216" s="1677"/>
      <c r="Q216" s="1677"/>
      <c r="R216" s="1677"/>
      <c r="S216" s="1677"/>
      <c r="U216" s="1677"/>
      <c r="V216" s="1677"/>
      <c r="W216" s="1677"/>
      <c r="X216" s="1677"/>
      <c r="Y216" s="1677"/>
      <c r="Z216" s="1677"/>
      <c r="AA216" s="1677"/>
      <c r="AB216" s="1677"/>
      <c r="AC216" s="1677"/>
      <c r="AD216" s="1677"/>
      <c r="AE216" s="1677"/>
      <c r="AF216" s="1677"/>
      <c r="AG216" s="1677"/>
    </row>
    <row customHeight="1" ht="11.25">
      <c r="A217" s="1003"/>
      <c r="B217" s="1677"/>
      <c r="D217" s="1677"/>
      <c r="J217" s="4122"/>
      <c r="K217" s="4122"/>
      <c r="L217" s="4122"/>
      <c r="M217" s="1677"/>
      <c r="P217" s="1677"/>
      <c r="Q217" s="1677"/>
      <c r="R217" s="1677"/>
      <c r="S217" s="1677"/>
      <c r="U217" s="1677"/>
      <c r="V217" s="1677"/>
      <c r="W217" s="1677"/>
      <c r="X217" s="1677"/>
      <c r="Y217" s="1677"/>
      <c r="Z217" s="1677"/>
      <c r="AA217" s="1677"/>
      <c r="AB217" s="1677"/>
      <c r="AC217" s="1677"/>
      <c r="AD217" s="1677"/>
      <c r="AE217" s="1677"/>
      <c r="AF217" s="1677"/>
      <c r="AG217" s="1677"/>
    </row>
    <row customHeight="1" ht="11.25">
      <c r="A218" s="1003"/>
      <c r="B218" s="1677"/>
      <c r="D218" s="1677"/>
      <c r="J218" s="4122"/>
      <c r="K218" s="4122"/>
      <c r="L218" s="4122"/>
      <c r="M218" s="1677"/>
      <c r="P218" s="1677"/>
      <c r="Q218" s="1677"/>
      <c r="R218" s="1677"/>
      <c r="S218" s="1677"/>
      <c r="U218" s="1677"/>
      <c r="V218" s="1677"/>
      <c r="W218" s="1677"/>
      <c r="X218" s="1677"/>
      <c r="Y218" s="1677"/>
      <c r="Z218" s="1677"/>
      <c r="AA218" s="1677"/>
      <c r="AB218" s="1677"/>
      <c r="AC218" s="1677"/>
      <c r="AD218" s="1677"/>
      <c r="AE218" s="1677"/>
      <c r="AF218" s="1677"/>
      <c r="AG218" s="1677"/>
    </row>
  </sheetData>
  <sheetProtection formatColumns="0" formatRows="0" autoFilter="0" sort="0" insertRows="0" insertColumns="1" deleteRows="0" deleteColumns="0"/>
  <mergeCells count="8">
    <mergeCell ref="F48:L48"/>
    <mergeCell ref="F49:L49"/>
    <mergeCell ref="E6:I6"/>
    <mergeCell ref="E7:I7"/>
    <mergeCell ref="F10:G10"/>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L33">
      <formula1>900</formula1>
    </dataValidation>
    <dataValidation type="decimal" allowBlank="1" showErrorMessage="1" errorTitle="Ошибка" error="Допускается ввод только неотрицательных чисел!" sqref="H38:K39 H2:K2 H15:K15 H17:K32 H35:K35 H44:K46 L2 L15 L17 L18 L19 L20 L21 L22 L23 L24 L25 L26 L27 L28 L29 L30 L31 L32 L35 L38 L39 L44 L45 L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K43 L43">
      <formula1>900</formula1>
    </dataValidation>
    <dataValidation type="decimal" allowBlank="1" showErrorMessage="1" errorTitle="Ошибка" error="Допускается ввод только действительных чисел!" sqref="H36:K37 L36 L37">
      <formula1>-9.99999999999999E+23</formula1>
      <formula2>9.99999999999999E+23</formula2>
    </dataValidation>
    <dataValidation type="decimal" allowBlank="1" showErrorMessage="1" errorTitle="Ошибка" error="Допускается ввод только действительных чисел!" sqref="H40:K42 L40 L41 L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8741A-4CD6-C282-128B-3A1F39550346}" mc:Ignorable="x14ac xr xr2 xr3">
  <sheetPr>
    <tabColor theme="9" tint="-0.25"/>
  </sheetPr>
  <dimension ref="A1:AG209"/>
  <sheetViews>
    <sheetView topLeftCell="A1" showGridLines="0" zoomScale="90" workbookViewId="0">
      <selection activeCell="K1" sqref="K1:K1048576"/>
    </sheetView>
  </sheetViews>
  <sheetFormatPr defaultColWidth="9.140625" customHeight="1" defaultRowHeight="11.25"/>
  <cols>
    <col min="1" max="1" style="4339" width="10.7109375" hidden="1" customWidth="1"/>
    <col min="2" max="2" style="3159" width="16.8515625" hidden="1" customWidth="1"/>
    <col min="3" max="3" style="3165" width="5.57421875" hidden="1" customWidth="1"/>
    <col min="4" max="4" style="4464" width="3.7109375" customWidth="1"/>
    <col min="5" max="5" style="2885" width="7.7109375" customWidth="1"/>
    <col min="6" max="6" style="2885" width="54.57421875" customWidth="1"/>
    <col min="7" max="7" style="2885" width="10.421875" customWidth="1"/>
    <col min="8" max="8" style="2885" width="40.7109375" hidden="1" customWidth="1"/>
    <col min="9" max="9" style="2885" width="40.7109375" customWidth="1"/>
    <col min="10" max="11" style="4122" width="40.7109375" customWidth="1"/>
    <col min="12" max="12" style="4122" width="40.7109375" hidden="1" customWidth="1"/>
    <col min="13" max="13" style="3159" width="9.7109375" customWidth="1"/>
    <col min="14" max="14" style="3165" width="5.28125" customWidth="1"/>
    <col min="15" max="15" style="3165" width="3.7109375" customWidth="1"/>
    <col min="16" max="19" style="3159" width="3.7109375" customWidth="1"/>
    <col min="20" max="20" style="3165" width="10.57421875" customWidth="1"/>
    <col min="21" max="21" style="3159" width="34.7109375" customWidth="1"/>
    <col min="22" max="22" style="3159" width="9.421875" customWidth="1"/>
    <col min="23" max="23" style="4342" width="9.140625"/>
    <col min="24" max="28" style="3159" width="9.140625"/>
    <col min="29" max="33" style="2884" width="9.140625"/>
  </cols>
  <sheetData>
    <row s="3159" customFormat="1" customHeight="1" ht="11.25" hidden="1">
      <c r="A1" s="1000"/>
      <c r="C1" s="1682"/>
      <c r="D1" s="545"/>
      <c r="H1" s="1174">
        <v>4</v>
      </c>
      <c r="I1" s="1174">
        <v>4</v>
      </c>
      <c r="J1" s="4116">
        <v>4</v>
      </c>
      <c r="K1" s="4116">
        <v>4</v>
      </c>
      <c r="L1" s="4116">
        <v>4</v>
      </c>
      <c r="N1" s="1682"/>
      <c r="O1" s="1682"/>
      <c r="T1" s="1682"/>
    </row>
    <row s="3159" customFormat="1" customHeight="1" ht="22.5" hidden="1">
      <c r="A2" s="1000"/>
      <c r="C2" s="1682"/>
      <c r="D2" s="546"/>
      <c r="E2" s="1704"/>
      <c r="F2" s="548"/>
      <c r="G2" s="1703" t="s">
        <v>1718</v>
      </c>
      <c r="H2" s="549"/>
      <c r="I2" s="549"/>
      <c r="J2" s="4336"/>
      <c r="K2" s="4336"/>
      <c r="L2" s="4336"/>
      <c r="M2" s="551"/>
      <c r="N2" s="1682"/>
      <c r="O2" s="1682"/>
      <c r="T2" s="1682"/>
      <c r="W2" s="552"/>
      <c r="AC2" s="1678"/>
      <c r="AD2" s="1678"/>
      <c r="AE2" s="1678"/>
      <c r="AF2" s="1678"/>
      <c r="AG2" s="1678"/>
    </row>
    <row customHeight="1" ht="11.25" hidden="1">
      <c r="J3" s="4122"/>
      <c r="K3" s="4122"/>
      <c r="L3" s="4122"/>
    </row>
    <row s="2884" customFormat="1" customHeight="1" ht="11.25" hidden="1">
      <c r="A4" s="1000"/>
      <c r="B4" s="1174"/>
      <c r="C4" s="1682"/>
      <c r="D4" s="360"/>
      <c r="J4" s="4346"/>
      <c r="K4" s="4346"/>
      <c r="L4" s="4346"/>
      <c r="M4" s="1174"/>
      <c r="N4" s="1682"/>
      <c r="O4" s="1682"/>
      <c r="P4" s="1174"/>
      <c r="Q4" s="1174"/>
      <c r="R4" s="1174"/>
      <c r="S4" s="1174"/>
      <c r="T4" s="1682"/>
      <c r="U4" s="1174"/>
      <c r="V4" s="1174"/>
      <c r="W4" s="552"/>
      <c r="X4" s="1174"/>
      <c r="Y4" s="1174"/>
      <c r="Z4" s="1174"/>
      <c r="AA4" s="1174"/>
      <c r="AB4" s="1174"/>
    </row>
    <row customHeight="1" ht="11.25">
      <c r="J5" s="4122"/>
      <c r="K5" s="4122"/>
      <c r="L5" s="4122"/>
    </row>
    <row customHeight="1" ht="24">
      <c r="E6" s="2168" t="s">
        <v>1797</v>
      </c>
      <c r="F6" s="2169"/>
      <c r="G6" s="2169"/>
      <c r="H6" s="2169"/>
      <c r="I6" s="2170"/>
      <c r="J6" s="4123"/>
      <c r="K6" s="4123"/>
      <c r="L6" s="4123"/>
    </row>
    <row customHeight="1" ht="24">
      <c r="E7" s="2171" t="str">
        <f>IF(org=0,"Не определено",org)</f>
        <v>МУП "Уссурийск-Водоканал"</v>
      </c>
      <c r="F7" s="2172"/>
      <c r="G7" s="2172"/>
      <c r="H7" s="2172"/>
      <c r="I7" s="2173"/>
      <c r="J7" s="4124"/>
      <c r="K7" s="4124"/>
      <c r="L7" s="4124"/>
    </row>
    <row customHeight="1" ht="11.25">
      <c r="E8" s="1149"/>
      <c r="F8" s="1149"/>
      <c r="G8" s="1149"/>
      <c r="H8" s="1149"/>
      <c r="I8" s="1149"/>
      <c r="J8" s="4348"/>
      <c r="K8" s="4348"/>
      <c r="L8" s="4348"/>
    </row>
    <row s="3165" customFormat="1" customHeight="1" ht="0.75">
      <c r="A9" s="1181"/>
      <c r="D9" s="1688"/>
      <c r="H9" s="900"/>
      <c r="I9" s="900" t="s">
        <v>118</v>
      </c>
      <c r="J9" s="4351" t="s">
        <v>123</v>
      </c>
      <c r="K9" s="4351" t="s">
        <v>126</v>
      </c>
      <c r="L9" s="4351"/>
    </row>
    <row customHeight="1" ht="11.25">
      <c r="E10" s="719"/>
      <c r="F10" s="2308" t="s">
        <v>105</v>
      </c>
      <c r="G10" s="2309"/>
      <c r="H10" s="1705" t="str">
        <f>IF(H9="","",INDEX(DIFFERENTIATION_UNMERGE_VD,MATCH(H9,DIFFERENTIATION_ID_DIFF,0)))</f>
        <v/>
      </c>
      <c r="I10" s="1705" t="str">
        <f>IF(I9="","",INDEX(DIFFERENTIATION_UNMERGE_VD,MATCH(I9,DIFFERENTIATION_ID_DIFF,0)))</f>
        <v>Водоотведение</v>
      </c>
      <c r="J10" s="4353" t="str">
        <f>IF(J9="","",INDEX(DIFFERENTIATION_UNMERGE_VD,MATCH(J9,DIFFERENTIATION_ID_DIFF,0)))</f>
        <v>Водоотведение</v>
      </c>
      <c r="K10" s="4353" t="str">
        <f>IF(K9="","",INDEX(DIFFERENTIATION_UNMERGE_VD,MATCH(K9,DIFFERENTIATION_ID_DIFF,0)))</f>
        <v>Подключение (технологическое присоединение) к централизованной системе водоотведения</v>
      </c>
      <c r="L10" s="4353" t="str">
        <f>IF(L9="","",INDEX(DIFFERENTIATION_UNMERGE_VD,MATCH(L9,DIFFERENTIATION_ID_DIFF,0)))</f>
        <v/>
      </c>
    </row>
    <row customHeight="1" ht="11.25">
      <c r="E11" s="719"/>
      <c r="F11" s="2308" t="s">
        <v>418</v>
      </c>
      <c r="G11" s="2309"/>
      <c r="H11" s="1705" t="str">
        <f>IF(H9="","",INDEX(DIFFERENTIATION_UNMERGE_AREA,MATCH(H9,DIFFERENTIATION_ID_DIFF,0)))</f>
        <v/>
      </c>
      <c r="I11" s="1705" t="str">
        <f>IF(I9="","",INDEX(DIFFERENTIATION_UNMERGE_AREA,MATCH(I9,DIFFERENTIATION_ID_DIFF,0)))</f>
        <v>без дифференциации</v>
      </c>
      <c r="J11" s="4353" t="str">
        <f>IF(J9="","",INDEX(DIFFERENTIATION_UNMERGE_AREA,MATCH(J9,DIFFERENTIATION_ID_DIFF,0)))</f>
        <v>без дифференциации</v>
      </c>
      <c r="K11" s="4353" t="str">
        <f>IF(K9="","",INDEX(DIFFERENTIATION_UNMERGE_AREA,MATCH(K9,DIFFERENTIATION_ID_DIFF,0)))</f>
        <v>без дифференциации</v>
      </c>
      <c r="L11" s="4353" t="str">
        <f>IF(L9="","",INDEX(DIFFERENTIATION_UNMERGE_AREA,MATCH(L9,DIFFERENTIATION_ID_DIFF,0)))</f>
        <v/>
      </c>
    </row>
    <row customHeight="1" ht="11.25" hidden="1">
      <c r="E12" s="1708"/>
      <c r="F12" s="2344" t="s">
        <v>419</v>
      </c>
      <c r="G12" s="2345"/>
      <c r="H12" s="1709" t="str">
        <f>IF(H9="","",INDEX(DIFFERENTIATION_UNMERGE_SYSTEM,MATCH(H9,DIFFERENTIATION_ID_DIFF,0)))</f>
        <v/>
      </c>
      <c r="I12" s="1709" t="str">
        <f>IF(I9="","",INDEX(DIFFERENTIATION_UNMERGE_SYSTEM,MATCH(I9,DIFFERENTIATION_ID_DIFF,0)))</f>
        <v>Уссурийский  городской  округ</v>
      </c>
      <c r="J12" s="4507" t="str">
        <f>IF(J9="","",INDEX(DIFFERENTIATION_UNMERGE_SYSTEM,MATCH(J9,DIFFERENTIATION_ID_DIFF,0)))</f>
        <v>ООО " Промышленный  парк  Уссурийский " и  ООО                   "АльянсГрупп"</v>
      </c>
      <c r="K12" s="4507" t="str">
        <f>IF(K9="","",INDEX(DIFFERENTIATION_UNMERGE_SYSTEM,MATCH(K9,DIFFERENTIATION_ID_DIFF,0)))</f>
        <v>без дифференциации</v>
      </c>
      <c r="L12" s="4507" t="str">
        <f>IF(L9="","",INDEX(DIFFERENTIATION_UNMERGE_SYSTEM,MATCH(L9,DIFFERENTIATION_ID_DIFF,0)))</f>
        <v/>
      </c>
    </row>
    <row customHeight="1" ht="11.25">
      <c r="E13" s="2310" t="s">
        <v>293</v>
      </c>
      <c r="F13" s="2311"/>
      <c r="G13" s="2311"/>
      <c r="H13" s="1702"/>
      <c r="I13" s="1702"/>
      <c r="J13" s="4137"/>
      <c r="K13" s="4137"/>
      <c r="L13" s="4137"/>
    </row>
    <row customHeight="1" ht="22.5">
      <c r="E14" s="1703" t="s">
        <v>88</v>
      </c>
      <c r="F14" s="1706" t="s">
        <v>295</v>
      </c>
      <c r="G14" s="1706" t="s">
        <v>1616</v>
      </c>
      <c r="H14" s="1706" t="s">
        <v>296</v>
      </c>
      <c r="I14" s="1706" t="s">
        <v>296</v>
      </c>
      <c r="J14" s="4142" t="s">
        <v>296</v>
      </c>
      <c r="K14" s="4142" t="s">
        <v>296</v>
      </c>
      <c r="L14" s="4142" t="s">
        <v>296</v>
      </c>
    </row>
    <row customHeight="1" ht="18.75">
      <c r="D15" s="1684"/>
      <c r="E15" s="1676" t="s">
        <v>109</v>
      </c>
      <c r="F15" s="715" t="s">
        <v>1798</v>
      </c>
      <c r="G15" s="1703" t="s">
        <v>1718</v>
      </c>
      <c r="H15" s="565"/>
      <c r="I15" s="565"/>
      <c r="J15" s="4358"/>
      <c r="K15" s="4358"/>
      <c r="L15" s="4358"/>
      <c r="M15" s="551" t="s">
        <v>1764</v>
      </c>
    </row>
    <row customHeight="1" ht="22.5">
      <c r="D16" s="1684"/>
      <c r="E16" s="1676" t="s">
        <v>110</v>
      </c>
      <c r="F16" s="1711" t="s">
        <v>1799</v>
      </c>
      <c r="G16" s="1703" t="s">
        <v>1718</v>
      </c>
      <c r="H16" s="566">
        <f>SUM(H17,H20:H27)</f>
        <v>0</v>
      </c>
      <c r="I16" s="566">
        <f>SUM(I17,I20:I27)</f>
        <v>0</v>
      </c>
      <c r="J16" s="4359">
        <f>SUM(J17,J20:J27)</f>
        <v>0</v>
      </c>
      <c r="K16" s="4359">
        <f>SUM(K17,K20:K27)</f>
        <v>0</v>
      </c>
      <c r="L16" s="4359">
        <f>SUM(L17,L20:L27)</f>
        <v>0</v>
      </c>
      <c r="M16" s="551" t="s">
        <v>1764</v>
      </c>
    </row>
    <row customHeight="1" ht="33.75">
      <c r="D17" s="1684"/>
      <c r="E17" s="1710" t="s">
        <v>456</v>
      </c>
      <c r="F17" s="1713" t="s">
        <v>1800</v>
      </c>
      <c r="G17" s="1700" t="s">
        <v>1718</v>
      </c>
      <c r="H17" s="565"/>
      <c r="I17" s="565"/>
      <c r="J17" s="4358"/>
      <c r="K17" s="4358"/>
      <c r="L17" s="4358"/>
      <c r="M17" s="551"/>
    </row>
    <row customHeight="1" ht="18.75">
      <c r="D18" s="1684"/>
      <c r="E18" s="1710" t="s">
        <v>458</v>
      </c>
      <c r="F18" s="1714" t="s">
        <v>1801</v>
      </c>
      <c r="G18" s="1700" t="s">
        <v>1718</v>
      </c>
      <c r="H18" s="565"/>
      <c r="I18" s="565"/>
      <c r="J18" s="4358"/>
      <c r="K18" s="4358"/>
      <c r="L18" s="4358"/>
      <c r="M18" s="551"/>
    </row>
    <row customHeight="1" ht="22.5">
      <c r="D19" s="1684"/>
      <c r="E19" s="1710" t="s">
        <v>1768</v>
      </c>
      <c r="F19" s="1714" t="s">
        <v>1802</v>
      </c>
      <c r="G19" s="1700" t="s">
        <v>1718</v>
      </c>
      <c r="H19" s="565"/>
      <c r="I19" s="565"/>
      <c r="J19" s="4358"/>
      <c r="K19" s="4358"/>
      <c r="L19" s="4358"/>
      <c r="M19" s="551"/>
    </row>
    <row customHeight="1" ht="33.75">
      <c r="D20" s="1684"/>
      <c r="E20" s="1710" t="s">
        <v>300</v>
      </c>
      <c r="F20" s="1713" t="s">
        <v>1803</v>
      </c>
      <c r="G20" s="1700" t="s">
        <v>1718</v>
      </c>
      <c r="H20" s="565"/>
      <c r="I20" s="565"/>
      <c r="J20" s="4358"/>
      <c r="K20" s="4358"/>
      <c r="L20" s="4358"/>
      <c r="M20" s="551"/>
    </row>
    <row customHeight="1" ht="33.75">
      <c r="D21" s="1684"/>
      <c r="E21" s="1710" t="s">
        <v>303</v>
      </c>
      <c r="F21" s="1713" t="s">
        <v>1804</v>
      </c>
      <c r="G21" s="1700" t="s">
        <v>1718</v>
      </c>
      <c r="H21" s="565"/>
      <c r="I21" s="565"/>
      <c r="J21" s="4358"/>
      <c r="K21" s="4358"/>
      <c r="L21" s="4358"/>
      <c r="M21" s="551"/>
    </row>
    <row customHeight="1" ht="56.25">
      <c r="D22" s="1684"/>
      <c r="E22" s="1710" t="s">
        <v>1367</v>
      </c>
      <c r="F22" s="1713" t="s">
        <v>1805</v>
      </c>
      <c r="G22" s="1700" t="s">
        <v>1718</v>
      </c>
      <c r="H22" s="565"/>
      <c r="I22" s="565"/>
      <c r="J22" s="4358"/>
      <c r="K22" s="4358"/>
      <c r="L22" s="4358"/>
      <c r="M22" s="551"/>
    </row>
    <row customHeight="1" ht="33.75">
      <c r="D23" s="1684"/>
      <c r="E23" s="1710" t="s">
        <v>1369</v>
      </c>
      <c r="F23" s="1713" t="s">
        <v>1806</v>
      </c>
      <c r="G23" s="1700" t="s">
        <v>1718</v>
      </c>
      <c r="H23" s="565"/>
      <c r="I23" s="565"/>
      <c r="J23" s="4358"/>
      <c r="K23" s="4358"/>
      <c r="L23" s="4358"/>
      <c r="M23" s="551"/>
    </row>
    <row customHeight="1" ht="33.75">
      <c r="D24" s="1684"/>
      <c r="E24" s="1710" t="s">
        <v>1383</v>
      </c>
      <c r="F24" s="1713" t="s">
        <v>1807</v>
      </c>
      <c r="G24" s="1700" t="s">
        <v>1718</v>
      </c>
      <c r="H24" s="565"/>
      <c r="I24" s="565"/>
      <c r="J24" s="4358"/>
      <c r="K24" s="4358"/>
      <c r="L24" s="4358"/>
      <c r="M24" s="551"/>
    </row>
    <row customHeight="1" ht="22.5">
      <c r="D25" s="1684"/>
      <c r="E25" s="1710" t="s">
        <v>1394</v>
      </c>
      <c r="F25" s="1713" t="s">
        <v>1808</v>
      </c>
      <c r="G25" s="1700" t="s">
        <v>1718</v>
      </c>
      <c r="H25" s="565"/>
      <c r="I25" s="565"/>
      <c r="J25" s="4358"/>
      <c r="K25" s="4358"/>
      <c r="L25" s="4358"/>
      <c r="M25" s="551"/>
    </row>
    <row customHeight="1" ht="67.5">
      <c r="D26" s="1684"/>
      <c r="E26" s="1710" t="s">
        <v>1405</v>
      </c>
      <c r="F26" s="1713" t="s">
        <v>1809</v>
      </c>
      <c r="G26" s="1700" t="s">
        <v>1718</v>
      </c>
      <c r="H26" s="565"/>
      <c r="I26" s="565"/>
      <c r="J26" s="4358"/>
      <c r="K26" s="4358"/>
      <c r="L26" s="4358"/>
      <c r="M26" s="551"/>
    </row>
    <row s="3159" customFormat="1" customHeight="1" ht="22.5">
      <c r="A27" s="1000"/>
      <c r="C27" s="1682"/>
      <c r="D27" s="1684"/>
      <c r="E27" s="1675" t="s">
        <v>1413</v>
      </c>
      <c r="F27" s="1674" t="s">
        <v>1810</v>
      </c>
      <c r="G27" s="1701" t="s">
        <v>1718</v>
      </c>
      <c r="H27" s="587">
        <f>SUM(H28:H29)</f>
        <v>0</v>
      </c>
      <c r="I27" s="587">
        <f>SUM(I28:I29)</f>
        <v>0</v>
      </c>
      <c r="J27" s="4394">
        <f>SUM(J28:J29)</f>
        <v>0</v>
      </c>
      <c r="K27" s="4394">
        <f>SUM(K28:K29)</f>
        <v>0</v>
      </c>
      <c r="L27" s="4394">
        <f>SUM(L28:L29)</f>
        <v>0</v>
      </c>
      <c r="M27" s="551"/>
      <c r="N27" s="1682"/>
      <c r="O27" s="1682"/>
      <c r="T27" s="1682"/>
      <c r="W27" s="552"/>
      <c r="AC27" s="1678"/>
      <c r="AD27" s="1678"/>
      <c r="AE27" s="1678"/>
      <c r="AF27" s="1678"/>
      <c r="AG27" s="1678"/>
    </row>
    <row s="3165" customFormat="1" customHeight="1" ht="0.75">
      <c r="A28" s="1181"/>
      <c r="D28" s="556"/>
      <c r="E28" s="812" t="str">
        <f>E27&amp;".0"</f>
        <v>2.9.0</v>
      </c>
      <c r="F28" s="1004"/>
      <c r="G28" s="559"/>
      <c r="H28" s="1005"/>
      <c r="I28" s="1005"/>
      <c r="J28" s="4397"/>
      <c r="K28" s="4397"/>
      <c r="L28" s="4397"/>
    </row>
    <row s="3159" customFormat="1" customHeight="1" ht="18.75">
      <c r="A29" s="1000"/>
      <c r="C29" s="1682"/>
      <c r="D29" s="1679"/>
      <c r="E29" s="578"/>
      <c r="F29" s="1712" t="s">
        <v>1734</v>
      </c>
      <c r="G29" s="580"/>
      <c r="H29" s="581"/>
      <c r="I29" s="581"/>
      <c r="J29" s="4532"/>
      <c r="K29" s="4533"/>
      <c r="L29" s="4534"/>
      <c r="M29" s="551"/>
      <c r="N29" s="1682"/>
      <c r="O29" s="1682"/>
      <c r="T29" s="1682"/>
      <c r="W29" s="552"/>
      <c r="AC29" s="1678"/>
      <c r="AD29" s="1678"/>
      <c r="AE29" s="1678"/>
      <c r="AF29" s="1678"/>
      <c r="AG29" s="1678"/>
    </row>
    <row s="3159" customFormat="1" customHeight="1" ht="22.5">
      <c r="A30" s="1000"/>
      <c r="C30" s="1682"/>
      <c r="D30" s="1684"/>
      <c r="E30" s="1710" t="s">
        <v>90</v>
      </c>
      <c r="F30" s="1707" t="s">
        <v>1811</v>
      </c>
      <c r="G30" s="1700" t="s">
        <v>1718</v>
      </c>
      <c r="H30" s="565"/>
      <c r="I30" s="565"/>
      <c r="J30" s="4358"/>
      <c r="K30" s="4358"/>
      <c r="L30" s="4358"/>
      <c r="M30" s="551"/>
      <c r="N30" s="1682"/>
      <c r="O30" s="1682"/>
      <c r="T30" s="1682"/>
      <c r="W30" s="552"/>
      <c r="AC30" s="1678"/>
      <c r="AD30" s="1678"/>
      <c r="AE30" s="1678"/>
      <c r="AF30" s="1678"/>
      <c r="AG30" s="1678"/>
    </row>
    <row s="3159" customFormat="1" customHeight="1" ht="33.75">
      <c r="A31" s="1000"/>
      <c r="C31" s="1682"/>
      <c r="D31" s="583"/>
      <c r="E31" s="1710" t="s">
        <v>91</v>
      </c>
      <c r="F31" s="1707" t="s">
        <v>1812</v>
      </c>
      <c r="G31" s="1700" t="s">
        <v>1718</v>
      </c>
      <c r="H31" s="565"/>
      <c r="I31" s="565"/>
      <c r="J31" s="4358"/>
      <c r="K31" s="4358"/>
      <c r="L31" s="4358"/>
      <c r="M31" s="551"/>
      <c r="N31" s="1682"/>
      <c r="O31" s="1682"/>
      <c r="T31" s="1682"/>
      <c r="W31" s="552"/>
      <c r="AC31" s="1678"/>
      <c r="AD31" s="1678"/>
      <c r="AE31" s="1678"/>
      <c r="AF31" s="1678"/>
      <c r="AG31" s="1678"/>
    </row>
    <row s="3159" customFormat="1" customHeight="1" ht="22.5">
      <c r="A32" s="1000"/>
      <c r="C32" s="1682"/>
      <c r="D32" s="1684"/>
      <c r="E32" s="1710" t="s">
        <v>1466</v>
      </c>
      <c r="F32" s="698" t="s">
        <v>1787</v>
      </c>
      <c r="G32" s="1700" t="s">
        <v>1718</v>
      </c>
      <c r="H32" s="565"/>
      <c r="I32" s="565"/>
      <c r="J32" s="4358"/>
      <c r="K32" s="4358"/>
      <c r="L32" s="4358"/>
      <c r="M32" s="551"/>
      <c r="N32" s="1682"/>
      <c r="O32" s="1682"/>
      <c r="T32" s="1682"/>
      <c r="W32" s="552"/>
      <c r="AC32" s="1678"/>
      <c r="AD32" s="1678"/>
      <c r="AE32" s="1678"/>
      <c r="AF32" s="1678"/>
      <c r="AG32" s="1678"/>
    </row>
    <row s="3159" customFormat="1" customHeight="1" ht="22.5">
      <c r="A33" s="1000"/>
      <c r="C33" s="1682"/>
      <c r="D33" s="1684"/>
      <c r="E33" s="1710" t="s">
        <v>1483</v>
      </c>
      <c r="F33" s="698" t="s">
        <v>1813</v>
      </c>
      <c r="G33" s="1700" t="s">
        <v>1718</v>
      </c>
      <c r="H33" s="565"/>
      <c r="I33" s="565"/>
      <c r="J33" s="4358"/>
      <c r="K33" s="4358"/>
      <c r="L33" s="4358"/>
      <c r="M33" s="551"/>
      <c r="N33" s="1682"/>
      <c r="O33" s="1682"/>
      <c r="T33" s="1682"/>
      <c r="W33" s="552"/>
      <c r="AC33" s="1678"/>
      <c r="AD33" s="1678"/>
      <c r="AE33" s="1678"/>
      <c r="AF33" s="1678"/>
      <c r="AG33" s="1678"/>
    </row>
    <row s="3159" customFormat="1" customHeight="1" ht="22.5">
      <c r="A34" s="1000"/>
      <c r="C34" s="1682"/>
      <c r="D34" s="1684"/>
      <c r="E34" s="1710" t="s">
        <v>1631</v>
      </c>
      <c r="F34" s="698" t="s">
        <v>1790</v>
      </c>
      <c r="G34" s="1700" t="s">
        <v>1718</v>
      </c>
      <c r="H34" s="565"/>
      <c r="I34" s="565"/>
      <c r="J34" s="4358"/>
      <c r="K34" s="4358"/>
      <c r="L34" s="4358"/>
      <c r="M34" s="551"/>
      <c r="N34" s="1682"/>
      <c r="O34" s="1682"/>
      <c r="T34" s="1682"/>
      <c r="W34" s="552"/>
      <c r="AC34" s="1678"/>
      <c r="AD34" s="1678"/>
      <c r="AE34" s="1678"/>
      <c r="AF34" s="1678"/>
      <c r="AG34" s="1678"/>
    </row>
    <row s="3159" customFormat="1" customHeight="1" ht="33.75">
      <c r="A35" s="1000"/>
      <c r="C35" s="1682" t="s">
        <v>1743</v>
      </c>
      <c r="D35" s="1684"/>
      <c r="E35" s="1710" t="s">
        <v>111</v>
      </c>
      <c r="F35" s="1707" t="s">
        <v>1489</v>
      </c>
      <c r="G35" s="1703" t="s">
        <v>299</v>
      </c>
      <c r="H35" s="408"/>
      <c r="I35" s="408"/>
      <c r="J35" s="4198"/>
      <c r="K35" s="4198"/>
      <c r="L35" s="4198"/>
      <c r="M35" s="551"/>
      <c r="N35" s="1682"/>
      <c r="O35" s="1682"/>
      <c r="T35" s="1682"/>
      <c r="W35" s="552"/>
      <c r="AC35" s="1678"/>
      <c r="AD35" s="1678"/>
      <c r="AE35" s="1678"/>
      <c r="AF35" s="1678"/>
      <c r="AG35" s="1678"/>
    </row>
    <row s="3159" customFormat="1" customHeight="1" ht="22.5">
      <c r="A36" s="1000"/>
      <c r="C36" s="1682"/>
      <c r="D36" s="1684"/>
      <c r="E36" s="1710" t="s">
        <v>92</v>
      </c>
      <c r="F36" s="1707" t="s">
        <v>1814</v>
      </c>
      <c r="G36" s="1700" t="s">
        <v>1793</v>
      </c>
      <c r="H36" s="553"/>
      <c r="I36" s="553"/>
      <c r="J36" s="4345"/>
      <c r="K36" s="4345"/>
      <c r="L36" s="4345"/>
      <c r="M36" s="551"/>
      <c r="N36" s="1682"/>
      <c r="O36" s="1682"/>
      <c r="T36" s="1682"/>
      <c r="W36" s="552"/>
      <c r="AC36" s="1678"/>
      <c r="AD36" s="1678"/>
      <c r="AE36" s="1678"/>
      <c r="AF36" s="1678"/>
      <c r="AG36" s="1678"/>
    </row>
    <row s="3159" customFormat="1" customHeight="1" ht="22.5">
      <c r="A37" s="1000"/>
      <c r="C37" s="1682"/>
      <c r="D37" s="1684"/>
      <c r="E37" s="1710" t="s">
        <v>93</v>
      </c>
      <c r="F37" s="1707" t="s">
        <v>1815</v>
      </c>
      <c r="G37" s="1700" t="s">
        <v>1795</v>
      </c>
      <c r="H37" s="553"/>
      <c r="I37" s="553"/>
      <c r="J37" s="4345"/>
      <c r="K37" s="4345"/>
      <c r="L37" s="4345"/>
      <c r="M37" s="551"/>
      <c r="N37" s="1682"/>
      <c r="O37" s="1682"/>
      <c r="T37" s="1682"/>
      <c r="W37" s="552"/>
      <c r="AC37" s="1678"/>
      <c r="AD37" s="1678"/>
      <c r="AE37" s="1678"/>
      <c r="AF37" s="1678"/>
      <c r="AG37" s="1678"/>
    </row>
    <row customHeight="1" ht="11.25">
      <c r="D38" s="1684"/>
      <c r="J38" s="4122"/>
      <c r="K38" s="4122"/>
      <c r="L38" s="4122"/>
    </row>
    <row customHeight="1" ht="26.25">
      <c r="D39" s="1684"/>
      <c r="E39" s="1279" t="s">
        <v>510</v>
      </c>
      <c r="F39" s="2218" t="s">
        <v>1816</v>
      </c>
      <c r="G39" s="2218"/>
      <c r="H39" s="2218"/>
      <c r="I39" s="2218"/>
      <c r="J39" s="4520"/>
      <c r="K39" s="4520"/>
      <c r="L39" s="4520"/>
    </row>
    <row s="4362" customFormat="1" customHeight="1" ht="37.5">
      <c r="A40" s="1000"/>
      <c r="B40" s="1682"/>
      <c r="C40" s="1682"/>
      <c r="D40" s="347"/>
      <c r="F40" s="2218" t="s">
        <v>1817</v>
      </c>
      <c r="G40" s="2218"/>
      <c r="H40" s="2218"/>
      <c r="I40" s="2218"/>
      <c r="J40" s="4520"/>
      <c r="K40" s="4520"/>
      <c r="L40" s="4520"/>
      <c r="M40" s="1174"/>
      <c r="N40" s="1682"/>
      <c r="O40" s="1682"/>
      <c r="P40" s="1174"/>
      <c r="Q40" s="1174"/>
      <c r="R40" s="1174"/>
      <c r="S40" s="1174"/>
      <c r="T40" s="1682"/>
      <c r="U40" s="1174"/>
      <c r="V40" s="1174"/>
      <c r="W40" s="552"/>
      <c r="X40" s="1174"/>
      <c r="Y40" s="1174"/>
      <c r="Z40" s="1174"/>
      <c r="AA40" s="1174"/>
      <c r="AB40" s="1174"/>
      <c r="AC40" s="1678"/>
      <c r="AD40" s="574"/>
      <c r="AE40" s="574"/>
      <c r="AF40" s="574"/>
      <c r="AG40" s="574"/>
    </row>
    <row s="4362" customFormat="1" customHeight="1" ht="11.25">
      <c r="A41" s="1000"/>
      <c r="B41" s="1682"/>
      <c r="C41" s="1682"/>
      <c r="D41" s="347"/>
      <c r="J41" s="4461"/>
      <c r="K41" s="4461"/>
      <c r="L41" s="4461"/>
      <c r="M41" s="1174"/>
      <c r="N41" s="1682"/>
      <c r="O41" s="1682"/>
      <c r="P41" s="1174"/>
      <c r="Q41" s="1174"/>
      <c r="R41" s="1174"/>
      <c r="S41" s="1174"/>
      <c r="T41" s="1682"/>
      <c r="U41" s="1174"/>
      <c r="V41" s="1174"/>
      <c r="W41" s="552"/>
      <c r="X41" s="1174"/>
      <c r="Y41" s="1174"/>
      <c r="Z41" s="1174"/>
      <c r="AA41" s="1174"/>
      <c r="AB41" s="1174"/>
      <c r="AC41" s="1678"/>
      <c r="AD41" s="574"/>
      <c r="AE41" s="574"/>
      <c r="AF41" s="574"/>
      <c r="AG41" s="574"/>
    </row>
    <row s="4362" customFormat="1" customHeight="1" ht="11.25">
      <c r="A42" s="1000"/>
      <c r="B42" s="1682"/>
      <c r="C42" s="1682"/>
      <c r="D42" s="347"/>
      <c r="J42" s="4461"/>
      <c r="K42" s="4461"/>
      <c r="L42" s="4461"/>
      <c r="M42" s="1174"/>
      <c r="N42" s="1682"/>
      <c r="O42" s="1682"/>
      <c r="P42" s="1174"/>
      <c r="Q42" s="1174"/>
      <c r="R42" s="1174"/>
      <c r="S42" s="1174"/>
      <c r="T42" s="1682"/>
      <c r="U42" s="1174"/>
      <c r="V42" s="1174"/>
      <c r="W42" s="552"/>
      <c r="X42" s="1174"/>
      <c r="Y42" s="1174"/>
      <c r="Z42" s="1174"/>
      <c r="AA42" s="1174"/>
      <c r="AB42" s="1174"/>
      <c r="AC42" s="1678"/>
      <c r="AD42" s="574"/>
      <c r="AE42" s="574"/>
      <c r="AF42" s="574"/>
      <c r="AG42" s="574"/>
    </row>
    <row s="4362" customFormat="1" customHeight="1" ht="11.25">
      <c r="A43" s="1000"/>
      <c r="B43" s="1682"/>
      <c r="C43" s="1682"/>
      <c r="D43" s="347"/>
      <c r="H43" s="574"/>
      <c r="I43" s="574"/>
      <c r="J43" s="4462"/>
      <c r="K43" s="4462"/>
      <c r="L43" s="4462"/>
      <c r="M43" s="1174"/>
      <c r="N43" s="1682"/>
      <c r="O43" s="1682"/>
      <c r="P43" s="1174"/>
      <c r="Q43" s="1174"/>
      <c r="R43" s="1174"/>
      <c r="S43" s="1174"/>
      <c r="T43" s="1682"/>
      <c r="U43" s="1174"/>
      <c r="V43" s="1174"/>
      <c r="W43" s="552"/>
      <c r="X43" s="1174"/>
      <c r="Y43" s="1174"/>
      <c r="Z43" s="1174"/>
      <c r="AA43" s="1174"/>
      <c r="AB43" s="1174"/>
      <c r="AC43" s="1678"/>
      <c r="AD43" s="574"/>
      <c r="AE43" s="574"/>
      <c r="AF43" s="574"/>
      <c r="AG43" s="574"/>
    </row>
    <row s="4362" customFormat="1" customHeight="1" ht="11.25">
      <c r="A44" s="1000"/>
      <c r="B44" s="1682"/>
      <c r="C44" s="1682"/>
      <c r="D44" s="347"/>
      <c r="J44" s="4461"/>
      <c r="K44" s="4461"/>
      <c r="L44" s="4461"/>
      <c r="M44" s="1174"/>
      <c r="N44" s="1682"/>
      <c r="O44" s="1682"/>
      <c r="P44" s="1174"/>
      <c r="Q44" s="1174"/>
      <c r="R44" s="1174"/>
      <c r="S44" s="1174"/>
      <c r="T44" s="1682"/>
      <c r="U44" s="1174"/>
      <c r="V44" s="1174"/>
      <c r="W44" s="552"/>
      <c r="X44" s="1174"/>
      <c r="Y44" s="1174"/>
      <c r="Z44" s="1174"/>
      <c r="AA44" s="1174"/>
      <c r="AB44" s="1174"/>
      <c r="AC44" s="1678"/>
      <c r="AD44" s="574"/>
      <c r="AE44" s="574"/>
      <c r="AF44" s="574"/>
      <c r="AG44" s="574"/>
    </row>
    <row s="4362" customFormat="1" customHeight="1" ht="11.25">
      <c r="A45" s="1000"/>
      <c r="B45" s="1682"/>
      <c r="C45" s="1682"/>
      <c r="D45" s="347"/>
      <c r="J45" s="4461"/>
      <c r="K45" s="4461"/>
      <c r="L45" s="4461"/>
      <c r="M45" s="1174"/>
      <c r="N45" s="1682"/>
      <c r="O45" s="1682"/>
      <c r="P45" s="1174"/>
      <c r="Q45" s="1174"/>
      <c r="R45" s="1174"/>
      <c r="S45" s="1174"/>
      <c r="T45" s="1682"/>
      <c r="U45" s="1174"/>
      <c r="V45" s="1174"/>
      <c r="W45" s="552"/>
      <c r="X45" s="1174"/>
      <c r="Y45" s="1174"/>
      <c r="Z45" s="1174"/>
      <c r="AA45" s="1174"/>
      <c r="AB45" s="1174"/>
      <c r="AC45" s="1678"/>
      <c r="AD45" s="574"/>
      <c r="AE45" s="574"/>
      <c r="AF45" s="574"/>
      <c r="AG45" s="574"/>
    </row>
    <row s="4362" customFormat="1" customHeight="1" ht="11.25">
      <c r="A46" s="1000"/>
      <c r="B46" s="1682"/>
      <c r="C46" s="1682"/>
      <c r="D46" s="347"/>
      <c r="J46" s="4461"/>
      <c r="K46" s="4461"/>
      <c r="L46" s="4461"/>
      <c r="M46" s="1174"/>
      <c r="N46" s="1682"/>
      <c r="O46" s="1682"/>
      <c r="P46" s="1174"/>
      <c r="Q46" s="1174"/>
      <c r="R46" s="1174"/>
      <c r="S46" s="1174"/>
      <c r="T46" s="1682"/>
      <c r="U46" s="1174"/>
      <c r="V46" s="1174"/>
      <c r="W46" s="552"/>
      <c r="X46" s="1174"/>
      <c r="Y46" s="1174"/>
      <c r="Z46" s="1174"/>
      <c r="AA46" s="1174"/>
      <c r="AB46" s="1174"/>
      <c r="AC46" s="1678"/>
      <c r="AD46" s="574"/>
      <c r="AE46" s="574"/>
      <c r="AF46" s="574"/>
      <c r="AG46" s="574"/>
    </row>
    <row s="4362" customFormat="1" customHeight="1" ht="11.25">
      <c r="A47" s="1000"/>
      <c r="B47" s="1682"/>
      <c r="C47" s="1682"/>
      <c r="D47" s="347"/>
      <c r="J47" s="4461"/>
      <c r="K47" s="4461"/>
      <c r="L47" s="4461"/>
      <c r="M47" s="1174"/>
      <c r="N47" s="1682"/>
      <c r="O47" s="1682"/>
      <c r="P47" s="1174"/>
      <c r="Q47" s="1174"/>
      <c r="R47" s="1174"/>
      <c r="S47" s="1174"/>
      <c r="T47" s="1682"/>
      <c r="U47" s="1174"/>
      <c r="V47" s="1174"/>
      <c r="W47" s="552"/>
      <c r="X47" s="1174"/>
      <c r="Y47" s="1174"/>
      <c r="Z47" s="1174"/>
      <c r="AA47" s="1174"/>
      <c r="AB47" s="1174"/>
      <c r="AC47" s="1678"/>
      <c r="AD47" s="574"/>
      <c r="AE47" s="574"/>
      <c r="AF47" s="574"/>
      <c r="AG47" s="574"/>
    </row>
    <row s="4362" customFormat="1" customHeight="1" ht="11.25">
      <c r="A48" s="1000"/>
      <c r="B48" s="1682"/>
      <c r="C48" s="1682"/>
      <c r="D48" s="347"/>
      <c r="J48" s="4461"/>
      <c r="K48" s="4461"/>
      <c r="L48" s="4461"/>
      <c r="M48" s="1174"/>
      <c r="N48" s="1682"/>
      <c r="O48" s="1682"/>
      <c r="P48" s="1174"/>
      <c r="Q48" s="1174"/>
      <c r="R48" s="1174"/>
      <c r="S48" s="1174"/>
      <c r="T48" s="1682"/>
      <c r="U48" s="1174"/>
      <c r="V48" s="1174"/>
      <c r="W48" s="552"/>
      <c r="X48" s="1174"/>
      <c r="Y48" s="1174"/>
      <c r="Z48" s="1174"/>
      <c r="AA48" s="1174"/>
      <c r="AB48" s="1174"/>
      <c r="AC48" s="1678"/>
      <c r="AD48" s="574"/>
      <c r="AE48" s="574"/>
      <c r="AF48" s="574"/>
      <c r="AG48" s="574"/>
    </row>
    <row s="4362" customFormat="1" customHeight="1" ht="11.25">
      <c r="A49" s="1000"/>
      <c r="B49" s="1682"/>
      <c r="C49" s="1682"/>
      <c r="D49" s="347"/>
      <c r="J49" s="4461"/>
      <c r="K49" s="4461"/>
      <c r="L49" s="4461"/>
      <c r="M49" s="1174"/>
      <c r="N49" s="1682"/>
      <c r="O49" s="1682"/>
      <c r="P49" s="1174"/>
      <c r="Q49" s="1174"/>
      <c r="R49" s="1174"/>
      <c r="S49" s="1174"/>
      <c r="T49" s="1682"/>
      <c r="U49" s="1174"/>
      <c r="V49" s="1174"/>
      <c r="W49" s="552"/>
      <c r="X49" s="1174"/>
      <c r="Y49" s="1174"/>
      <c r="Z49" s="1174"/>
      <c r="AA49" s="1174"/>
      <c r="AB49" s="1174"/>
      <c r="AC49" s="1678"/>
      <c r="AD49" s="574"/>
      <c r="AE49" s="574"/>
      <c r="AF49" s="574"/>
      <c r="AG49" s="574"/>
    </row>
    <row s="4362" customFormat="1" customHeight="1" ht="11.25">
      <c r="A50" s="1000"/>
      <c r="B50" s="1682"/>
      <c r="C50" s="1682"/>
      <c r="D50" s="347"/>
      <c r="J50" s="4461"/>
      <c r="K50" s="4461"/>
      <c r="L50" s="4461"/>
      <c r="M50" s="1174"/>
      <c r="N50" s="1682"/>
      <c r="O50" s="1682"/>
      <c r="P50" s="1174"/>
      <c r="Q50" s="1174"/>
      <c r="R50" s="1174"/>
      <c r="S50" s="1174"/>
      <c r="T50" s="1682"/>
      <c r="U50" s="1174"/>
      <c r="V50" s="1174"/>
      <c r="W50" s="552"/>
      <c r="X50" s="1174"/>
      <c r="Y50" s="1174"/>
      <c r="Z50" s="1174"/>
      <c r="AA50" s="1174"/>
      <c r="AB50" s="1174"/>
      <c r="AC50" s="1678"/>
      <c r="AD50" s="574"/>
      <c r="AE50" s="574"/>
      <c r="AF50" s="574"/>
      <c r="AG50" s="574"/>
    </row>
    <row s="4362" customFormat="1" customHeight="1" ht="11.25">
      <c r="A51" s="1000"/>
      <c r="B51" s="1682"/>
      <c r="C51" s="1682"/>
      <c r="D51" s="347"/>
      <c r="J51" s="4461"/>
      <c r="K51" s="4461"/>
      <c r="L51" s="4461"/>
      <c r="M51" s="1174"/>
      <c r="N51" s="1682"/>
      <c r="O51" s="1682"/>
      <c r="P51" s="1174"/>
      <c r="Q51" s="1174"/>
      <c r="R51" s="1174"/>
      <c r="S51" s="1174"/>
      <c r="T51" s="1682"/>
      <c r="U51" s="1174"/>
      <c r="V51" s="1174"/>
      <c r="W51" s="552"/>
      <c r="X51" s="1174"/>
      <c r="Y51" s="1174"/>
      <c r="Z51" s="1174"/>
      <c r="AA51" s="1174"/>
      <c r="AB51" s="1174"/>
      <c r="AC51" s="1678"/>
      <c r="AD51" s="574"/>
      <c r="AE51" s="574"/>
      <c r="AF51" s="574"/>
      <c r="AG51" s="574"/>
    </row>
    <row s="4362" customFormat="1" customHeight="1" ht="11.25">
      <c r="A52" s="1000"/>
      <c r="B52" s="1682"/>
      <c r="C52" s="1682"/>
      <c r="D52" s="347"/>
      <c r="J52" s="4461"/>
      <c r="K52" s="4461"/>
      <c r="L52" s="4461"/>
      <c r="M52" s="1174"/>
      <c r="N52" s="1682"/>
      <c r="O52" s="1682"/>
      <c r="P52" s="1174"/>
      <c r="Q52" s="1174"/>
      <c r="R52" s="1174"/>
      <c r="S52" s="1174"/>
      <c r="T52" s="1682"/>
      <c r="U52" s="1174"/>
      <c r="V52" s="1174"/>
      <c r="W52" s="552"/>
      <c r="X52" s="1174"/>
      <c r="Y52" s="1174"/>
      <c r="Z52" s="1174"/>
      <c r="AA52" s="1174"/>
      <c r="AB52" s="1174"/>
      <c r="AC52" s="1678"/>
      <c r="AD52" s="574"/>
      <c r="AE52" s="574"/>
      <c r="AF52" s="574"/>
      <c r="AG52" s="574"/>
    </row>
    <row s="4362" customFormat="1" customHeight="1" ht="11.25">
      <c r="A53" s="1000"/>
      <c r="B53" s="1682"/>
      <c r="C53" s="1682"/>
      <c r="D53" s="347"/>
      <c r="J53" s="4461"/>
      <c r="K53" s="4461"/>
      <c r="L53" s="4461"/>
      <c r="M53" s="1174"/>
      <c r="N53" s="1682"/>
      <c r="O53" s="1682"/>
      <c r="P53" s="1174"/>
      <c r="Q53" s="1174"/>
      <c r="R53" s="1174"/>
      <c r="S53" s="1174"/>
      <c r="T53" s="1682"/>
      <c r="U53" s="1174"/>
      <c r="V53" s="1174"/>
      <c r="W53" s="552"/>
      <c r="X53" s="1174"/>
      <c r="Y53" s="1174"/>
      <c r="Z53" s="1174"/>
      <c r="AA53" s="1174"/>
      <c r="AB53" s="1174"/>
      <c r="AC53" s="1678"/>
      <c r="AD53" s="574"/>
      <c r="AE53" s="574"/>
      <c r="AF53" s="574"/>
      <c r="AG53" s="574"/>
    </row>
    <row s="4362" customFormat="1" customHeight="1" ht="11.25">
      <c r="A54" s="1000"/>
      <c r="B54" s="1682"/>
      <c r="C54" s="1682"/>
      <c r="D54" s="347"/>
      <c r="J54" s="4461"/>
      <c r="K54" s="4461"/>
      <c r="L54" s="4461"/>
      <c r="M54" s="1174"/>
      <c r="N54" s="1682"/>
      <c r="O54" s="1682"/>
      <c r="P54" s="1174"/>
      <c r="Q54" s="1174"/>
      <c r="R54" s="1174"/>
      <c r="S54" s="1174"/>
      <c r="T54" s="1682"/>
      <c r="U54" s="1174"/>
      <c r="V54" s="1174"/>
      <c r="W54" s="552"/>
      <c r="X54" s="1174"/>
      <c r="Y54" s="1174"/>
      <c r="Z54" s="1174"/>
      <c r="AA54" s="1174"/>
      <c r="AB54" s="1174"/>
      <c r="AC54" s="1678"/>
      <c r="AD54" s="574"/>
      <c r="AE54" s="574"/>
      <c r="AF54" s="574"/>
      <c r="AG54" s="574"/>
    </row>
    <row s="4362" customFormat="1" customHeight="1" ht="11.25">
      <c r="A55" s="1000"/>
      <c r="B55" s="1682"/>
      <c r="C55" s="1682"/>
      <c r="D55" s="347"/>
      <c r="J55" s="4461"/>
      <c r="K55" s="4461"/>
      <c r="L55" s="4461"/>
      <c r="M55" s="1174"/>
      <c r="N55" s="1682"/>
      <c r="O55" s="1682"/>
      <c r="P55" s="1174"/>
      <c r="Q55" s="1174"/>
      <c r="R55" s="1174"/>
      <c r="S55" s="1174"/>
      <c r="T55" s="1682"/>
      <c r="U55" s="1174"/>
      <c r="V55" s="1174"/>
      <c r="W55" s="552"/>
      <c r="X55" s="1174"/>
      <c r="Y55" s="1174"/>
      <c r="Z55" s="1174"/>
      <c r="AA55" s="1174"/>
      <c r="AB55" s="1174"/>
      <c r="AC55" s="1678"/>
      <c r="AD55" s="574"/>
      <c r="AE55" s="574"/>
      <c r="AF55" s="574"/>
      <c r="AG55" s="574"/>
    </row>
    <row s="4362" customFormat="1" customHeight="1" ht="11.25">
      <c r="A56" s="1000"/>
      <c r="B56" s="1682"/>
      <c r="C56" s="1682"/>
      <c r="D56" s="347"/>
      <c r="J56" s="4461"/>
      <c r="K56" s="4461"/>
      <c r="L56" s="4461"/>
      <c r="M56" s="1174"/>
      <c r="N56" s="1682"/>
      <c r="O56" s="1682"/>
      <c r="P56" s="1174"/>
      <c r="Q56" s="1174"/>
      <c r="R56" s="1174"/>
      <c r="S56" s="1174"/>
      <c r="T56" s="1682"/>
      <c r="U56" s="1174"/>
      <c r="V56" s="1174"/>
      <c r="W56" s="552"/>
      <c r="X56" s="1174"/>
      <c r="Y56" s="1174"/>
      <c r="Z56" s="1174"/>
      <c r="AA56" s="1174"/>
      <c r="AB56" s="1174"/>
      <c r="AC56" s="1678"/>
      <c r="AD56" s="574"/>
      <c r="AE56" s="574"/>
      <c r="AF56" s="574"/>
      <c r="AG56" s="574"/>
    </row>
    <row s="4362" customFormat="1" customHeight="1" ht="11.25">
      <c r="A57" s="1000"/>
      <c r="B57" s="1682"/>
      <c r="C57" s="1682"/>
      <c r="D57" s="347"/>
      <c r="J57" s="4461"/>
      <c r="K57" s="4461"/>
      <c r="L57" s="4461"/>
      <c r="M57" s="1174"/>
      <c r="N57" s="1682"/>
      <c r="O57" s="1682"/>
      <c r="P57" s="1174"/>
      <c r="Q57" s="1174"/>
      <c r="R57" s="1174"/>
      <c r="S57" s="1174"/>
      <c r="T57" s="1682"/>
      <c r="U57" s="1174"/>
      <c r="V57" s="1174"/>
      <c r="W57" s="552"/>
      <c r="X57" s="1174"/>
      <c r="Y57" s="1174"/>
      <c r="Z57" s="1174"/>
      <c r="AA57" s="1174"/>
      <c r="AB57" s="1174"/>
      <c r="AC57" s="1678"/>
      <c r="AD57" s="574"/>
      <c r="AE57" s="574"/>
      <c r="AF57" s="574"/>
      <c r="AG57" s="574"/>
    </row>
    <row s="4362" customFormat="1" customHeight="1" ht="11.25">
      <c r="A58" s="1000"/>
      <c r="B58" s="1682"/>
      <c r="C58" s="1682"/>
      <c r="D58" s="347"/>
      <c r="J58" s="4461"/>
      <c r="K58" s="4461"/>
      <c r="L58" s="4461"/>
      <c r="M58" s="1174"/>
      <c r="N58" s="1682"/>
      <c r="O58" s="1682"/>
      <c r="P58" s="1174"/>
      <c r="Q58" s="1174"/>
      <c r="R58" s="1174"/>
      <c r="S58" s="1174"/>
      <c r="T58" s="1682"/>
      <c r="U58" s="1174"/>
      <c r="V58" s="1174"/>
      <c r="W58" s="552"/>
      <c r="X58" s="1174"/>
      <c r="Y58" s="1174"/>
      <c r="Z58" s="1174"/>
      <c r="AA58" s="1174"/>
      <c r="AB58" s="1174"/>
      <c r="AC58" s="1678"/>
      <c r="AD58" s="574"/>
      <c r="AE58" s="574"/>
      <c r="AF58" s="574"/>
      <c r="AG58" s="574"/>
    </row>
    <row s="4362" customFormat="1" customHeight="1" ht="11.25">
      <c r="A59" s="1000"/>
      <c r="B59" s="1682"/>
      <c r="C59" s="1682"/>
      <c r="D59" s="347"/>
      <c r="J59" s="4461"/>
      <c r="K59" s="4461"/>
      <c r="L59" s="4461"/>
      <c r="M59" s="1174"/>
      <c r="N59" s="1682"/>
      <c r="O59" s="1682"/>
      <c r="P59" s="1174"/>
      <c r="Q59" s="1174"/>
      <c r="R59" s="1174"/>
      <c r="S59" s="1174"/>
      <c r="T59" s="1682"/>
      <c r="U59" s="1174"/>
      <c r="V59" s="1174"/>
      <c r="W59" s="552"/>
      <c r="X59" s="1174"/>
      <c r="Y59" s="1174"/>
      <c r="Z59" s="1174"/>
      <c r="AA59" s="1174"/>
      <c r="AB59" s="1174"/>
      <c r="AC59" s="1678"/>
      <c r="AD59" s="574"/>
      <c r="AE59" s="574"/>
      <c r="AF59" s="574"/>
      <c r="AG59" s="574"/>
    </row>
    <row s="4362" customFormat="1" customHeight="1" ht="11.25">
      <c r="A60" s="1000"/>
      <c r="B60" s="1682"/>
      <c r="C60" s="1682"/>
      <c r="D60" s="347"/>
      <c r="J60" s="4461"/>
      <c r="K60" s="4461"/>
      <c r="L60" s="4461"/>
      <c r="M60" s="1174"/>
      <c r="N60" s="1682"/>
      <c r="O60" s="1682"/>
      <c r="P60" s="1174"/>
      <c r="Q60" s="1174"/>
      <c r="R60" s="1174"/>
      <c r="S60" s="1174"/>
      <c r="T60" s="1682"/>
      <c r="U60" s="1174"/>
      <c r="V60" s="1174"/>
      <c r="W60" s="552"/>
      <c r="X60" s="1174"/>
      <c r="Y60" s="1174"/>
      <c r="Z60" s="1174"/>
      <c r="AA60" s="1174"/>
      <c r="AB60" s="1174"/>
      <c r="AC60" s="1678"/>
      <c r="AD60" s="574"/>
      <c r="AE60" s="574"/>
      <c r="AF60" s="574"/>
      <c r="AG60" s="574"/>
    </row>
    <row s="4362" customFormat="1" customHeight="1" ht="11.25">
      <c r="A61" s="1000"/>
      <c r="B61" s="1682"/>
      <c r="C61" s="1682"/>
      <c r="D61" s="347"/>
      <c r="J61" s="4461"/>
      <c r="K61" s="4461"/>
      <c r="L61" s="4461"/>
      <c r="M61" s="1174"/>
      <c r="N61" s="1682"/>
      <c r="O61" s="1682"/>
      <c r="P61" s="1174"/>
      <c r="Q61" s="1174"/>
      <c r="R61" s="1174"/>
      <c r="S61" s="1174"/>
      <c r="T61" s="1682"/>
      <c r="U61" s="1174"/>
      <c r="V61" s="1174"/>
      <c r="W61" s="552"/>
      <c r="X61" s="1174"/>
      <c r="Y61" s="1174"/>
      <c r="Z61" s="1174"/>
      <c r="AA61" s="1174"/>
      <c r="AB61" s="1174"/>
      <c r="AC61" s="1678"/>
      <c r="AD61" s="574"/>
      <c r="AE61" s="574"/>
      <c r="AF61" s="574"/>
      <c r="AG61" s="574"/>
    </row>
    <row s="4362" customFormat="1" customHeight="1" ht="11.25">
      <c r="A62" s="1000"/>
      <c r="B62" s="1682"/>
      <c r="C62" s="1682"/>
      <c r="D62" s="347"/>
      <c r="J62" s="4461"/>
      <c r="K62" s="4461"/>
      <c r="L62" s="4461"/>
      <c r="M62" s="1174"/>
      <c r="N62" s="1682"/>
      <c r="O62" s="1682"/>
      <c r="P62" s="1174"/>
      <c r="Q62" s="1174"/>
      <c r="R62" s="1174"/>
      <c r="S62" s="1174"/>
      <c r="T62" s="1682"/>
      <c r="U62" s="1174"/>
      <c r="V62" s="1174"/>
      <c r="W62" s="552"/>
      <c r="X62" s="1174"/>
      <c r="Y62" s="1174"/>
      <c r="Z62" s="1174"/>
      <c r="AA62" s="1174"/>
      <c r="AB62" s="1174"/>
      <c r="AC62" s="1678"/>
      <c r="AD62" s="574"/>
      <c r="AE62" s="574"/>
      <c r="AF62" s="574"/>
      <c r="AG62" s="574"/>
    </row>
    <row s="4362" customFormat="1" customHeight="1" ht="11.25">
      <c r="A63" s="1000"/>
      <c r="B63" s="1682"/>
      <c r="C63" s="1682"/>
      <c r="D63" s="347"/>
      <c r="J63" s="4461"/>
      <c r="K63" s="4461"/>
      <c r="L63" s="4461"/>
      <c r="M63" s="1174"/>
      <c r="N63" s="1682"/>
      <c r="O63" s="1682"/>
      <c r="P63" s="1174"/>
      <c r="Q63" s="1174"/>
      <c r="R63" s="1174"/>
      <c r="S63" s="1174"/>
      <c r="T63" s="1682"/>
      <c r="U63" s="1174"/>
      <c r="V63" s="1174"/>
      <c r="W63" s="552"/>
      <c r="X63" s="1174"/>
      <c r="Y63" s="1174"/>
      <c r="Z63" s="1174"/>
      <c r="AA63" s="1174"/>
      <c r="AB63" s="1174"/>
      <c r="AC63" s="1678"/>
      <c r="AD63" s="574"/>
      <c r="AE63" s="574"/>
      <c r="AF63" s="574"/>
      <c r="AG63" s="574"/>
    </row>
    <row s="4362" customFormat="1" customHeight="1" ht="11.25">
      <c r="A64" s="1000"/>
      <c r="B64" s="1682"/>
      <c r="C64" s="1682"/>
      <c r="D64" s="347"/>
      <c r="J64" s="4461"/>
      <c r="K64" s="4461"/>
      <c r="L64" s="4461"/>
      <c r="M64" s="1174"/>
      <c r="N64" s="1682"/>
      <c r="O64" s="1682"/>
      <c r="P64" s="1174"/>
      <c r="Q64" s="1174"/>
      <c r="R64" s="1174"/>
      <c r="S64" s="1174"/>
      <c r="T64" s="1682"/>
      <c r="U64" s="1174"/>
      <c r="V64" s="1174"/>
      <c r="W64" s="552"/>
      <c r="X64" s="1174"/>
      <c r="Y64" s="1174"/>
      <c r="Z64" s="1174"/>
      <c r="AA64" s="1174"/>
      <c r="AB64" s="1174"/>
      <c r="AC64" s="1678"/>
      <c r="AD64" s="574"/>
      <c r="AE64" s="574"/>
      <c r="AF64" s="574"/>
      <c r="AG64" s="574"/>
    </row>
    <row s="4362" customFormat="1" customHeight="1" ht="11.25">
      <c r="A65" s="1000"/>
      <c r="B65" s="1682"/>
      <c r="C65" s="1682"/>
      <c r="D65" s="347"/>
      <c r="J65" s="4461"/>
      <c r="K65" s="4461"/>
      <c r="L65" s="4461"/>
      <c r="M65" s="1174"/>
      <c r="N65" s="1682"/>
      <c r="O65" s="1682"/>
      <c r="P65" s="1174"/>
      <c r="Q65" s="1174"/>
      <c r="R65" s="1174"/>
      <c r="S65" s="1174"/>
      <c r="T65" s="1682"/>
      <c r="U65" s="1174"/>
      <c r="V65" s="1174"/>
      <c r="W65" s="552"/>
      <c r="X65" s="1174"/>
      <c r="Y65" s="1174"/>
      <c r="Z65" s="1174"/>
      <c r="AA65" s="1174"/>
      <c r="AB65" s="1174"/>
      <c r="AC65" s="1678"/>
      <c r="AD65" s="574"/>
      <c r="AE65" s="574"/>
      <c r="AF65" s="574"/>
      <c r="AG65" s="574"/>
    </row>
    <row s="4362" customFormat="1" customHeight="1" ht="11.25">
      <c r="A66" s="1000"/>
      <c r="B66" s="1682"/>
      <c r="C66" s="1682"/>
      <c r="D66" s="347"/>
      <c r="J66" s="4461"/>
      <c r="K66" s="4461"/>
      <c r="L66" s="4461"/>
      <c r="M66" s="1174"/>
      <c r="N66" s="1682"/>
      <c r="O66" s="1682"/>
      <c r="P66" s="1174"/>
      <c r="Q66" s="1174"/>
      <c r="R66" s="1174"/>
      <c r="S66" s="1174"/>
      <c r="T66" s="1682"/>
      <c r="U66" s="1174"/>
      <c r="V66" s="1174"/>
      <c r="W66" s="552"/>
      <c r="X66" s="1174"/>
      <c r="Y66" s="1174"/>
      <c r="Z66" s="1174"/>
      <c r="AA66" s="1174"/>
      <c r="AB66" s="1174"/>
      <c r="AC66" s="1678"/>
      <c r="AD66" s="574"/>
      <c r="AE66" s="574"/>
      <c r="AF66" s="574"/>
      <c r="AG66" s="574"/>
    </row>
    <row s="4362" customFormat="1" customHeight="1" ht="11.25">
      <c r="A67" s="1000"/>
      <c r="B67" s="1682"/>
      <c r="C67" s="1682"/>
      <c r="D67" s="347"/>
      <c r="J67" s="4461"/>
      <c r="K67" s="4461"/>
      <c r="L67" s="4461"/>
      <c r="M67" s="1174"/>
      <c r="N67" s="1682"/>
      <c r="O67" s="1682"/>
      <c r="P67" s="1174"/>
      <c r="Q67" s="1174"/>
      <c r="R67" s="1174"/>
      <c r="S67" s="1174"/>
      <c r="T67" s="1682"/>
      <c r="U67" s="1174"/>
      <c r="V67" s="1174"/>
      <c r="W67" s="552"/>
      <c r="X67" s="1174"/>
      <c r="Y67" s="1174"/>
      <c r="Z67" s="1174"/>
      <c r="AA67" s="1174"/>
      <c r="AB67" s="1174"/>
      <c r="AC67" s="1678"/>
      <c r="AD67" s="574"/>
      <c r="AE67" s="574"/>
      <c r="AF67" s="574"/>
      <c r="AG67" s="574"/>
    </row>
    <row s="4362" customFormat="1" customHeight="1" ht="11.25">
      <c r="A68" s="1000"/>
      <c r="B68" s="1682"/>
      <c r="C68" s="1682"/>
      <c r="D68" s="347"/>
      <c r="J68" s="4461"/>
      <c r="K68" s="4461"/>
      <c r="L68" s="4461"/>
      <c r="M68" s="1174"/>
      <c r="N68" s="1682"/>
      <c r="O68" s="1682"/>
      <c r="P68" s="1174"/>
      <c r="Q68" s="1174"/>
      <c r="R68" s="1174"/>
      <c r="S68" s="1174"/>
      <c r="T68" s="1682"/>
      <c r="U68" s="1174"/>
      <c r="V68" s="1174"/>
      <c r="W68" s="552"/>
      <c r="X68" s="1174"/>
      <c r="Y68" s="1174"/>
      <c r="Z68" s="1174"/>
      <c r="AA68" s="1174"/>
      <c r="AB68" s="1174"/>
      <c r="AC68" s="1678"/>
      <c r="AD68" s="574"/>
      <c r="AE68" s="574"/>
      <c r="AF68" s="574"/>
      <c r="AG68" s="574"/>
    </row>
    <row s="4362" customFormat="1" customHeight="1" ht="11.25">
      <c r="A69" s="1000"/>
      <c r="B69" s="1682"/>
      <c r="C69" s="1682"/>
      <c r="D69" s="347"/>
      <c r="J69" s="4461"/>
      <c r="K69" s="4461"/>
      <c r="L69" s="4461"/>
      <c r="M69" s="1174"/>
      <c r="N69" s="1682"/>
      <c r="O69" s="1682"/>
      <c r="P69" s="1174"/>
      <c r="Q69" s="1174"/>
      <c r="R69" s="1174"/>
      <c r="S69" s="1174"/>
      <c r="T69" s="1682"/>
      <c r="U69" s="1174"/>
      <c r="V69" s="1174"/>
      <c r="W69" s="552"/>
      <c r="X69" s="1174"/>
      <c r="Y69" s="1174"/>
      <c r="Z69" s="1174"/>
      <c r="AA69" s="1174"/>
      <c r="AB69" s="1174"/>
      <c r="AC69" s="1678"/>
      <c r="AD69" s="574"/>
      <c r="AE69" s="574"/>
      <c r="AF69" s="574"/>
      <c r="AG69" s="574"/>
    </row>
    <row s="4362" customFormat="1" customHeight="1" ht="11.25">
      <c r="A70" s="1000"/>
      <c r="B70" s="1682"/>
      <c r="C70" s="1682"/>
      <c r="D70" s="347"/>
      <c r="J70" s="4461"/>
      <c r="K70" s="4461"/>
      <c r="L70" s="4461"/>
      <c r="M70" s="1174"/>
      <c r="N70" s="1682"/>
      <c r="O70" s="1682"/>
      <c r="P70" s="1174"/>
      <c r="Q70" s="1174"/>
      <c r="R70" s="1174"/>
      <c r="S70" s="1174"/>
      <c r="T70" s="1682"/>
      <c r="U70" s="1174"/>
      <c r="V70" s="1174"/>
      <c r="W70" s="552"/>
      <c r="X70" s="1174"/>
      <c r="Y70" s="1174"/>
      <c r="Z70" s="1174"/>
      <c r="AA70" s="1174"/>
      <c r="AB70" s="1174"/>
      <c r="AC70" s="1678"/>
      <c r="AD70" s="574"/>
      <c r="AE70" s="574"/>
      <c r="AF70" s="574"/>
      <c r="AG70" s="574"/>
    </row>
    <row s="4362" customFormat="1" customHeight="1" ht="11.25">
      <c r="A71" s="1000"/>
      <c r="B71" s="1682"/>
      <c r="C71" s="1682"/>
      <c r="D71" s="347"/>
      <c r="J71" s="4461"/>
      <c r="K71" s="4461"/>
      <c r="L71" s="4461"/>
      <c r="M71" s="1174"/>
      <c r="N71" s="1682"/>
      <c r="O71" s="1682"/>
      <c r="P71" s="1174"/>
      <c r="Q71" s="1174"/>
      <c r="R71" s="1174"/>
      <c r="S71" s="1174"/>
      <c r="T71" s="1682"/>
      <c r="U71" s="1174"/>
      <c r="V71" s="1174"/>
      <c r="W71" s="552"/>
      <c r="X71" s="1174"/>
      <c r="Y71" s="1174"/>
      <c r="Z71" s="1174"/>
      <c r="AA71" s="1174"/>
      <c r="AB71" s="1174"/>
      <c r="AC71" s="1678"/>
      <c r="AD71" s="574"/>
      <c r="AE71" s="574"/>
      <c r="AF71" s="574"/>
      <c r="AG71" s="574"/>
    </row>
    <row s="4362" customFormat="1" customHeight="1" ht="11.25">
      <c r="A72" s="1000"/>
      <c r="B72" s="1682"/>
      <c r="C72" s="1682"/>
      <c r="D72" s="347"/>
      <c r="J72" s="4461"/>
      <c r="K72" s="4461"/>
      <c r="L72" s="4461"/>
      <c r="M72" s="1174"/>
      <c r="N72" s="1682"/>
      <c r="O72" s="1682"/>
      <c r="P72" s="1174"/>
      <c r="Q72" s="1174"/>
      <c r="R72" s="1174"/>
      <c r="S72" s="1174"/>
      <c r="T72" s="1682"/>
      <c r="U72" s="1174"/>
      <c r="V72" s="1174"/>
      <c r="W72" s="552"/>
      <c r="X72" s="1174"/>
      <c r="Y72" s="1174"/>
      <c r="Z72" s="1174"/>
      <c r="AA72" s="1174"/>
      <c r="AB72" s="1174"/>
      <c r="AC72" s="1678"/>
      <c r="AD72" s="574"/>
      <c r="AE72" s="574"/>
      <c r="AF72" s="574"/>
      <c r="AG72" s="574"/>
    </row>
    <row s="4362" customFormat="1" customHeight="1" ht="11.25">
      <c r="A73" s="1000"/>
      <c r="B73" s="1682"/>
      <c r="C73" s="1682"/>
      <c r="D73" s="347"/>
      <c r="J73" s="4461"/>
      <c r="K73" s="4461"/>
      <c r="L73" s="4461"/>
      <c r="M73" s="1174"/>
      <c r="N73" s="1682"/>
      <c r="O73" s="1682"/>
      <c r="P73" s="1174"/>
      <c r="Q73" s="1174"/>
      <c r="R73" s="1174"/>
      <c r="S73" s="1174"/>
      <c r="T73" s="1682"/>
      <c r="U73" s="1174"/>
      <c r="V73" s="1174"/>
      <c r="W73" s="552"/>
      <c r="X73" s="1174"/>
      <c r="Y73" s="1174"/>
      <c r="Z73" s="1174"/>
      <c r="AA73" s="1174"/>
      <c r="AB73" s="1174"/>
      <c r="AC73" s="1678"/>
      <c r="AD73" s="574"/>
      <c r="AE73" s="574"/>
      <c r="AF73" s="574"/>
      <c r="AG73" s="574"/>
    </row>
    <row s="4362" customFormat="1" customHeight="1" ht="11.25">
      <c r="A74" s="1000"/>
      <c r="B74" s="1682"/>
      <c r="C74" s="1682"/>
      <c r="D74" s="347"/>
      <c r="J74" s="4461"/>
      <c r="K74" s="4461"/>
      <c r="L74" s="4461"/>
      <c r="M74" s="1174"/>
      <c r="N74" s="1682"/>
      <c r="O74" s="1682"/>
      <c r="P74" s="1174"/>
      <c r="Q74" s="1174"/>
      <c r="R74" s="1174"/>
      <c r="S74" s="1174"/>
      <c r="T74" s="1682"/>
      <c r="U74" s="1174"/>
      <c r="V74" s="1174"/>
      <c r="W74" s="552"/>
      <c r="X74" s="1174"/>
      <c r="Y74" s="1174"/>
      <c r="Z74" s="1174"/>
      <c r="AA74" s="1174"/>
      <c r="AB74" s="1174"/>
      <c r="AC74" s="1678"/>
      <c r="AD74" s="574"/>
      <c r="AE74" s="574"/>
      <c r="AF74" s="574"/>
      <c r="AG74" s="574"/>
    </row>
    <row s="4362" customFormat="1" customHeight="1" ht="11.25">
      <c r="A75" s="1000"/>
      <c r="B75" s="1682"/>
      <c r="C75" s="1682"/>
      <c r="D75" s="347"/>
      <c r="J75" s="4461"/>
      <c r="K75" s="4461"/>
      <c r="L75" s="4461"/>
      <c r="M75" s="1174"/>
      <c r="N75" s="1682"/>
      <c r="O75" s="1682"/>
      <c r="P75" s="1174"/>
      <c r="Q75" s="1174"/>
      <c r="R75" s="1174"/>
      <c r="S75" s="1174"/>
      <c r="T75" s="1682"/>
      <c r="U75" s="1174"/>
      <c r="V75" s="1174"/>
      <c r="W75" s="552"/>
      <c r="X75" s="1174"/>
      <c r="Y75" s="1174"/>
      <c r="Z75" s="1174"/>
      <c r="AA75" s="1174"/>
      <c r="AB75" s="1174"/>
      <c r="AC75" s="1678"/>
      <c r="AD75" s="574"/>
      <c r="AE75" s="574"/>
      <c r="AF75" s="574"/>
      <c r="AG75" s="574"/>
    </row>
    <row s="4362" customFormat="1" customHeight="1" ht="11.25">
      <c r="A76" s="1000"/>
      <c r="B76" s="1682"/>
      <c r="C76" s="1682"/>
      <c r="D76" s="347"/>
      <c r="J76" s="4461"/>
      <c r="K76" s="4461"/>
      <c r="L76" s="4461"/>
      <c r="M76" s="1174"/>
      <c r="N76" s="1682"/>
      <c r="O76" s="1682"/>
      <c r="P76" s="1174"/>
      <c r="Q76" s="1174"/>
      <c r="R76" s="1174"/>
      <c r="S76" s="1174"/>
      <c r="T76" s="1682"/>
      <c r="U76" s="1174"/>
      <c r="V76" s="1174"/>
      <c r="W76" s="552"/>
      <c r="X76" s="1174"/>
      <c r="Y76" s="1174"/>
      <c r="Z76" s="1174"/>
      <c r="AA76" s="1174"/>
      <c r="AB76" s="1174"/>
      <c r="AC76" s="1678"/>
      <c r="AD76" s="574"/>
      <c r="AE76" s="574"/>
      <c r="AF76" s="574"/>
      <c r="AG76" s="574"/>
    </row>
    <row s="4362" customFormat="1" customHeight="1" ht="11.25">
      <c r="A77" s="1000"/>
      <c r="B77" s="1682"/>
      <c r="C77" s="1682"/>
      <c r="D77" s="347"/>
      <c r="J77" s="4461"/>
      <c r="K77" s="4461"/>
      <c r="L77" s="4461"/>
      <c r="M77" s="1174"/>
      <c r="N77" s="1682"/>
      <c r="O77" s="1682"/>
      <c r="P77" s="1174"/>
      <c r="Q77" s="1174"/>
      <c r="R77" s="1174"/>
      <c r="S77" s="1174"/>
      <c r="T77" s="1682"/>
      <c r="U77" s="1174"/>
      <c r="V77" s="1174"/>
      <c r="W77" s="552"/>
      <c r="X77" s="1174"/>
      <c r="Y77" s="1174"/>
      <c r="Z77" s="1174"/>
      <c r="AA77" s="1174"/>
      <c r="AB77" s="1174"/>
      <c r="AC77" s="1678"/>
      <c r="AD77" s="574"/>
      <c r="AE77" s="574"/>
      <c r="AF77" s="574"/>
      <c r="AG77" s="574"/>
    </row>
    <row s="4362" customFormat="1" customHeight="1" ht="11.25">
      <c r="A78" s="1000"/>
      <c r="B78" s="1682"/>
      <c r="C78" s="1682"/>
      <c r="D78" s="347"/>
      <c r="J78" s="4461"/>
      <c r="K78" s="4461"/>
      <c r="L78" s="4461"/>
      <c r="M78" s="1174"/>
      <c r="N78" s="1682"/>
      <c r="O78" s="1682"/>
      <c r="P78" s="1174"/>
      <c r="Q78" s="1174"/>
      <c r="R78" s="1174"/>
      <c r="S78" s="1174"/>
      <c r="T78" s="1682"/>
      <c r="U78" s="1174"/>
      <c r="V78" s="1174"/>
      <c r="W78" s="552"/>
      <c r="X78" s="1174"/>
      <c r="Y78" s="1174"/>
      <c r="Z78" s="1174"/>
      <c r="AA78" s="1174"/>
      <c r="AB78" s="1174"/>
      <c r="AC78" s="1678"/>
      <c r="AD78" s="574"/>
      <c r="AE78" s="574"/>
      <c r="AF78" s="574"/>
      <c r="AG78" s="574"/>
    </row>
    <row s="4362" customFormat="1" customHeight="1" ht="11.25">
      <c r="A79" s="1000"/>
      <c r="B79" s="1682"/>
      <c r="C79" s="1682"/>
      <c r="D79" s="347"/>
      <c r="J79" s="4461"/>
      <c r="K79" s="4461"/>
      <c r="L79" s="4461"/>
      <c r="M79" s="1174"/>
      <c r="N79" s="1682"/>
      <c r="O79" s="1682"/>
      <c r="P79" s="1174"/>
      <c r="Q79" s="1174"/>
      <c r="R79" s="1174"/>
      <c r="S79" s="1174"/>
      <c r="T79" s="1682"/>
      <c r="U79" s="1174"/>
      <c r="V79" s="1174"/>
      <c r="W79" s="552"/>
      <c r="X79" s="1174"/>
      <c r="Y79" s="1174"/>
      <c r="Z79" s="1174"/>
      <c r="AA79" s="1174"/>
      <c r="AB79" s="1174"/>
      <c r="AC79" s="1678"/>
      <c r="AD79" s="574"/>
      <c r="AE79" s="574"/>
      <c r="AF79" s="574"/>
      <c r="AG79" s="574"/>
    </row>
    <row s="4362" customFormat="1" customHeight="1" ht="11.25">
      <c r="A80" s="1000"/>
      <c r="B80" s="1682"/>
      <c r="C80" s="1682"/>
      <c r="D80" s="347"/>
      <c r="J80" s="4461"/>
      <c r="K80" s="4461"/>
      <c r="L80" s="4461"/>
      <c r="M80" s="1174"/>
      <c r="N80" s="1682"/>
      <c r="O80" s="1682"/>
      <c r="P80" s="1174"/>
      <c r="Q80" s="1174"/>
      <c r="R80" s="1174"/>
      <c r="S80" s="1174"/>
      <c r="T80" s="1682"/>
      <c r="U80" s="1174"/>
      <c r="V80" s="1174"/>
      <c r="W80" s="552"/>
      <c r="X80" s="1174"/>
      <c r="Y80" s="1174"/>
      <c r="Z80" s="1174"/>
      <c r="AA80" s="1174"/>
      <c r="AB80" s="1174"/>
      <c r="AC80" s="1678"/>
      <c r="AD80" s="574"/>
      <c r="AE80" s="574"/>
      <c r="AF80" s="574"/>
      <c r="AG80" s="574"/>
    </row>
    <row s="4362" customFormat="1" customHeight="1" ht="11.25">
      <c r="A81" s="1000"/>
      <c r="B81" s="1682"/>
      <c r="C81" s="1682"/>
      <c r="D81" s="347"/>
      <c r="J81" s="4461"/>
      <c r="K81" s="4461"/>
      <c r="L81" s="4461"/>
      <c r="M81" s="1174"/>
      <c r="N81" s="1682"/>
      <c r="O81" s="1682"/>
      <c r="P81" s="1174"/>
      <c r="Q81" s="1174"/>
      <c r="R81" s="1174"/>
      <c r="S81" s="1174"/>
      <c r="T81" s="1682"/>
      <c r="U81" s="1174"/>
      <c r="V81" s="1174"/>
      <c r="W81" s="552"/>
      <c r="X81" s="1174"/>
      <c r="Y81" s="1174"/>
      <c r="Z81" s="1174"/>
      <c r="AA81" s="1174"/>
      <c r="AB81" s="1174"/>
      <c r="AC81" s="1678"/>
      <c r="AD81" s="574"/>
      <c r="AE81" s="574"/>
      <c r="AF81" s="574"/>
      <c r="AG81" s="574"/>
    </row>
    <row s="4362" customFormat="1" customHeight="1" ht="11.25">
      <c r="A82" s="1000"/>
      <c r="B82" s="1682"/>
      <c r="C82" s="1682"/>
      <c r="D82" s="347"/>
      <c r="J82" s="4461"/>
      <c r="K82" s="4461"/>
      <c r="L82" s="4461"/>
      <c r="M82" s="1174"/>
      <c r="N82" s="1682"/>
      <c r="O82" s="1682"/>
      <c r="P82" s="1174"/>
      <c r="Q82" s="1174"/>
      <c r="R82" s="1174"/>
      <c r="S82" s="1174"/>
      <c r="T82" s="1682"/>
      <c r="U82" s="1174"/>
      <c r="V82" s="1174"/>
      <c r="W82" s="552"/>
      <c r="X82" s="1174"/>
      <c r="Y82" s="1174"/>
      <c r="Z82" s="1174"/>
      <c r="AA82" s="1174"/>
      <c r="AB82" s="1174"/>
      <c r="AC82" s="1678"/>
      <c r="AD82" s="574"/>
      <c r="AE82" s="574"/>
      <c r="AF82" s="574"/>
      <c r="AG82" s="574"/>
    </row>
    <row s="4362" customFormat="1" customHeight="1" ht="11.25">
      <c r="A83" s="1000"/>
      <c r="B83" s="1682"/>
      <c r="C83" s="1682"/>
      <c r="D83" s="347"/>
      <c r="J83" s="4461"/>
      <c r="K83" s="4461"/>
      <c r="L83" s="4461"/>
      <c r="M83" s="1174"/>
      <c r="N83" s="1682"/>
      <c r="O83" s="1682"/>
      <c r="P83" s="1174"/>
      <c r="Q83" s="1174"/>
      <c r="R83" s="1174"/>
      <c r="S83" s="1174"/>
      <c r="T83" s="1682"/>
      <c r="U83" s="1174"/>
      <c r="V83" s="1174"/>
      <c r="W83" s="552"/>
      <c r="X83" s="1174"/>
      <c r="Y83" s="1174"/>
      <c r="Z83" s="1174"/>
      <c r="AA83" s="1174"/>
      <c r="AB83" s="1174"/>
      <c r="AC83" s="1678"/>
      <c r="AD83" s="574"/>
      <c r="AE83" s="574"/>
      <c r="AF83" s="574"/>
      <c r="AG83" s="574"/>
    </row>
    <row s="4362" customFormat="1" customHeight="1" ht="11.25">
      <c r="A84" s="1000"/>
      <c r="B84" s="1682"/>
      <c r="C84" s="1682"/>
      <c r="D84" s="347"/>
      <c r="J84" s="4461"/>
      <c r="K84" s="4461"/>
      <c r="L84" s="4461"/>
      <c r="M84" s="1174"/>
      <c r="N84" s="1682"/>
      <c r="O84" s="1682"/>
      <c r="P84" s="1174"/>
      <c r="Q84" s="1174"/>
      <c r="R84" s="1174"/>
      <c r="S84" s="1174"/>
      <c r="T84" s="1682"/>
      <c r="U84" s="1174"/>
      <c r="V84" s="1174"/>
      <c r="W84" s="552"/>
      <c r="X84" s="1174"/>
      <c r="Y84" s="1174"/>
      <c r="Z84" s="1174"/>
      <c r="AA84" s="1174"/>
      <c r="AB84" s="1174"/>
      <c r="AC84" s="1678"/>
      <c r="AD84" s="574"/>
      <c r="AE84" s="574"/>
      <c r="AF84" s="574"/>
      <c r="AG84" s="574"/>
    </row>
    <row s="4362" customFormat="1" customHeight="1" ht="11.25">
      <c r="A85" s="1000"/>
      <c r="B85" s="1682"/>
      <c r="C85" s="1682"/>
      <c r="D85" s="347"/>
      <c r="J85" s="4461"/>
      <c r="K85" s="4461"/>
      <c r="L85" s="4461"/>
      <c r="M85" s="1174"/>
      <c r="N85" s="1682"/>
      <c r="O85" s="1682"/>
      <c r="P85" s="1174"/>
      <c r="Q85" s="1174"/>
      <c r="R85" s="1174"/>
      <c r="S85" s="1174"/>
      <c r="T85" s="1682"/>
      <c r="U85" s="1174"/>
      <c r="V85" s="1174"/>
      <c r="W85" s="552"/>
      <c r="X85" s="1174"/>
      <c r="Y85" s="1174"/>
      <c r="Z85" s="1174"/>
      <c r="AA85" s="1174"/>
      <c r="AB85" s="1174"/>
      <c r="AC85" s="1678"/>
      <c r="AD85" s="574"/>
      <c r="AE85" s="574"/>
      <c r="AF85" s="574"/>
      <c r="AG85" s="574"/>
    </row>
    <row s="4362" customFormat="1" customHeight="1" ht="11.25">
      <c r="A86" s="1000"/>
      <c r="B86" s="1682"/>
      <c r="C86" s="1682"/>
      <c r="D86" s="347"/>
      <c r="J86" s="4461"/>
      <c r="K86" s="4461"/>
      <c r="L86" s="4461"/>
      <c r="M86" s="1174"/>
      <c r="N86" s="1682"/>
      <c r="O86" s="1682"/>
      <c r="P86" s="1174"/>
      <c r="Q86" s="1174"/>
      <c r="R86" s="1174"/>
      <c r="S86" s="1174"/>
      <c r="T86" s="1682"/>
      <c r="U86" s="1174"/>
      <c r="V86" s="1174"/>
      <c r="W86" s="552"/>
      <c r="X86" s="1174"/>
      <c r="Y86" s="1174"/>
      <c r="Z86" s="1174"/>
      <c r="AA86" s="1174"/>
      <c r="AB86" s="1174"/>
      <c r="AC86" s="1678"/>
      <c r="AD86" s="574"/>
      <c r="AE86" s="574"/>
      <c r="AF86" s="574"/>
      <c r="AG86" s="574"/>
    </row>
    <row s="4362" customFormat="1" customHeight="1" ht="11.25">
      <c r="A87" s="1000"/>
      <c r="B87" s="1682"/>
      <c r="C87" s="1682"/>
      <c r="D87" s="347"/>
      <c r="J87" s="4461"/>
      <c r="K87" s="4461"/>
      <c r="L87" s="4461"/>
      <c r="M87" s="1174"/>
      <c r="N87" s="1682"/>
      <c r="O87" s="1682"/>
      <c r="P87" s="1174"/>
      <c r="Q87" s="1174"/>
      <c r="R87" s="1174"/>
      <c r="S87" s="1174"/>
      <c r="T87" s="1682"/>
      <c r="U87" s="1174"/>
      <c r="V87" s="1174"/>
      <c r="W87" s="552"/>
      <c r="X87" s="1174"/>
      <c r="Y87" s="1174"/>
      <c r="Z87" s="1174"/>
      <c r="AA87" s="1174"/>
      <c r="AB87" s="1174"/>
      <c r="AC87" s="1678"/>
      <c r="AD87" s="574"/>
      <c r="AE87" s="574"/>
      <c r="AF87" s="574"/>
      <c r="AG87" s="574"/>
    </row>
    <row s="4362" customFormat="1" customHeight="1" ht="11.25">
      <c r="A88" s="1000"/>
      <c r="B88" s="1682"/>
      <c r="C88" s="1682"/>
      <c r="D88" s="347"/>
      <c r="J88" s="4461"/>
      <c r="K88" s="4461"/>
      <c r="L88" s="4461"/>
      <c r="M88" s="1174"/>
      <c r="N88" s="1682"/>
      <c r="O88" s="1682"/>
      <c r="P88" s="1174"/>
      <c r="Q88" s="1174"/>
      <c r="R88" s="1174"/>
      <c r="S88" s="1174"/>
      <c r="T88" s="1682"/>
      <c r="U88" s="1174"/>
      <c r="V88" s="1174"/>
      <c r="W88" s="552"/>
      <c r="X88" s="1174"/>
      <c r="Y88" s="1174"/>
      <c r="Z88" s="1174"/>
      <c r="AA88" s="1174"/>
      <c r="AB88" s="1174"/>
      <c r="AC88" s="1678"/>
      <c r="AD88" s="574"/>
      <c r="AE88" s="574"/>
      <c r="AF88" s="574"/>
      <c r="AG88" s="574"/>
    </row>
    <row s="4362" customFormat="1" customHeight="1" ht="11.25">
      <c r="A89" s="1000"/>
      <c r="B89" s="1682"/>
      <c r="C89" s="1682"/>
      <c r="D89" s="347"/>
      <c r="J89" s="4461"/>
      <c r="K89" s="4461"/>
      <c r="L89" s="4461"/>
      <c r="M89" s="1174"/>
      <c r="N89" s="1682"/>
      <c r="O89" s="1682"/>
      <c r="P89" s="1174"/>
      <c r="Q89" s="1174"/>
      <c r="R89" s="1174"/>
      <c r="S89" s="1174"/>
      <c r="T89" s="1682"/>
      <c r="U89" s="1174"/>
      <c r="V89" s="1174"/>
      <c r="W89" s="552"/>
      <c r="X89" s="1174"/>
      <c r="Y89" s="1174"/>
      <c r="Z89" s="1174"/>
      <c r="AA89" s="1174"/>
      <c r="AB89" s="1174"/>
      <c r="AC89" s="1678"/>
      <c r="AD89" s="574"/>
      <c r="AE89" s="574"/>
      <c r="AF89" s="574"/>
      <c r="AG89" s="574"/>
    </row>
    <row s="4362" customFormat="1" customHeight="1" ht="11.25">
      <c r="A90" s="1000"/>
      <c r="B90" s="1682"/>
      <c r="C90" s="1682"/>
      <c r="D90" s="347"/>
      <c r="J90" s="4461"/>
      <c r="K90" s="4461"/>
      <c r="L90" s="4461"/>
      <c r="M90" s="1174"/>
      <c r="N90" s="1682"/>
      <c r="O90" s="1682"/>
      <c r="P90" s="1174"/>
      <c r="Q90" s="1174"/>
      <c r="R90" s="1174"/>
      <c r="S90" s="1174"/>
      <c r="T90" s="1682"/>
      <c r="U90" s="1174"/>
      <c r="V90" s="1174"/>
      <c r="W90" s="552"/>
      <c r="X90" s="1174"/>
      <c r="Y90" s="1174"/>
      <c r="Z90" s="1174"/>
      <c r="AA90" s="1174"/>
      <c r="AB90" s="1174"/>
      <c r="AC90" s="1678"/>
      <c r="AD90" s="574"/>
      <c r="AE90" s="574"/>
      <c r="AF90" s="574"/>
      <c r="AG90" s="574"/>
    </row>
    <row s="4362" customFormat="1" customHeight="1" ht="11.25">
      <c r="A91" s="1000"/>
      <c r="B91" s="1682"/>
      <c r="C91" s="1682"/>
      <c r="D91" s="347"/>
      <c r="J91" s="4461"/>
      <c r="K91" s="4461"/>
      <c r="L91" s="4461"/>
      <c r="M91" s="1174"/>
      <c r="N91" s="1682"/>
      <c r="O91" s="1682"/>
      <c r="P91" s="1174"/>
      <c r="Q91" s="1174"/>
      <c r="R91" s="1174"/>
      <c r="S91" s="1174"/>
      <c r="T91" s="1682"/>
      <c r="U91" s="1174"/>
      <c r="V91" s="1174"/>
      <c r="W91" s="552"/>
      <c r="X91" s="1174"/>
      <c r="Y91" s="1174"/>
      <c r="Z91" s="1174"/>
      <c r="AA91" s="1174"/>
      <c r="AB91" s="1174"/>
      <c r="AC91" s="1678"/>
      <c r="AD91" s="574"/>
      <c r="AE91" s="574"/>
      <c r="AF91" s="574"/>
      <c r="AG91" s="574"/>
    </row>
    <row s="4362" customFormat="1" customHeight="1" ht="11.25">
      <c r="A92" s="1000"/>
      <c r="B92" s="1682"/>
      <c r="C92" s="1682"/>
      <c r="D92" s="347"/>
      <c r="J92" s="4461"/>
      <c r="K92" s="4461"/>
      <c r="L92" s="4461"/>
      <c r="M92" s="1174"/>
      <c r="N92" s="1682"/>
      <c r="O92" s="1682"/>
      <c r="P92" s="1174"/>
      <c r="Q92" s="1174"/>
      <c r="R92" s="1174"/>
      <c r="S92" s="1174"/>
      <c r="T92" s="1682"/>
      <c r="U92" s="1174"/>
      <c r="V92" s="1174"/>
      <c r="W92" s="552"/>
      <c r="X92" s="1174"/>
      <c r="Y92" s="1174"/>
      <c r="Z92" s="1174"/>
      <c r="AA92" s="1174"/>
      <c r="AB92" s="1174"/>
      <c r="AC92" s="1678"/>
      <c r="AD92" s="574"/>
      <c r="AE92" s="574"/>
      <c r="AF92" s="574"/>
      <c r="AG92" s="574"/>
    </row>
    <row s="4362" customFormat="1" customHeight="1" ht="11.25">
      <c r="A93" s="1000"/>
      <c r="B93" s="1682"/>
      <c r="C93" s="1682"/>
      <c r="D93" s="347"/>
      <c r="J93" s="4461"/>
      <c r="K93" s="4461"/>
      <c r="L93" s="4461"/>
      <c r="M93" s="1174"/>
      <c r="N93" s="1682"/>
      <c r="O93" s="1682"/>
      <c r="P93" s="1174"/>
      <c r="Q93" s="1174"/>
      <c r="R93" s="1174"/>
      <c r="S93" s="1174"/>
      <c r="T93" s="1682"/>
      <c r="U93" s="1174"/>
      <c r="V93" s="1174"/>
      <c r="W93" s="552"/>
      <c r="X93" s="1174"/>
      <c r="Y93" s="1174"/>
      <c r="Z93" s="1174"/>
      <c r="AA93" s="1174"/>
      <c r="AB93" s="1174"/>
      <c r="AC93" s="1678"/>
      <c r="AD93" s="574"/>
      <c r="AE93" s="574"/>
      <c r="AF93" s="574"/>
      <c r="AG93" s="574"/>
    </row>
    <row s="4362" customFormat="1" customHeight="1" ht="11.25">
      <c r="A94" s="1000"/>
      <c r="B94" s="1682"/>
      <c r="C94" s="1682"/>
      <c r="D94" s="347"/>
      <c r="J94" s="4461"/>
      <c r="K94" s="4461"/>
      <c r="L94" s="4461"/>
      <c r="M94" s="1174"/>
      <c r="N94" s="1682"/>
      <c r="O94" s="1682"/>
      <c r="P94" s="1174"/>
      <c r="Q94" s="1174"/>
      <c r="R94" s="1174"/>
      <c r="S94" s="1174"/>
      <c r="T94" s="1682"/>
      <c r="U94" s="1174"/>
      <c r="V94" s="1174"/>
      <c r="W94" s="552"/>
      <c r="X94" s="1174"/>
      <c r="Y94" s="1174"/>
      <c r="Z94" s="1174"/>
      <c r="AA94" s="1174"/>
      <c r="AB94" s="1174"/>
      <c r="AC94" s="1678"/>
      <c r="AD94" s="574"/>
      <c r="AE94" s="574"/>
      <c r="AF94" s="574"/>
      <c r="AG94" s="574"/>
    </row>
    <row s="4362" customFormat="1" customHeight="1" ht="11.25">
      <c r="A95" s="1000"/>
      <c r="B95" s="1682"/>
      <c r="C95" s="1682"/>
      <c r="D95" s="347"/>
      <c r="J95" s="4461"/>
      <c r="K95" s="4461"/>
      <c r="L95" s="4461"/>
      <c r="M95" s="1174"/>
      <c r="N95" s="1682"/>
      <c r="O95" s="1682"/>
      <c r="P95" s="1174"/>
      <c r="Q95" s="1174"/>
      <c r="R95" s="1174"/>
      <c r="S95" s="1174"/>
      <c r="T95" s="1682"/>
      <c r="U95" s="1174"/>
      <c r="V95" s="1174"/>
      <c r="W95" s="552"/>
      <c r="X95" s="1174"/>
      <c r="Y95" s="1174"/>
      <c r="Z95" s="1174"/>
      <c r="AA95" s="1174"/>
      <c r="AB95" s="1174"/>
      <c r="AC95" s="1678"/>
      <c r="AD95" s="574"/>
      <c r="AE95" s="574"/>
      <c r="AF95" s="574"/>
      <c r="AG95" s="574"/>
    </row>
    <row s="4362" customFormat="1" customHeight="1" ht="11.25">
      <c r="A96" s="1000"/>
      <c r="B96" s="1682"/>
      <c r="C96" s="1682"/>
      <c r="D96" s="347"/>
      <c r="J96" s="4461"/>
      <c r="K96" s="4461"/>
      <c r="L96" s="4461"/>
      <c r="M96" s="1174"/>
      <c r="N96" s="1682"/>
      <c r="O96" s="1682"/>
      <c r="P96" s="1174"/>
      <c r="Q96" s="1174"/>
      <c r="R96" s="1174"/>
      <c r="S96" s="1174"/>
      <c r="T96" s="1682"/>
      <c r="U96" s="1174"/>
      <c r="V96" s="1174"/>
      <c r="W96" s="552"/>
      <c r="X96" s="1174"/>
      <c r="Y96" s="1174"/>
      <c r="Z96" s="1174"/>
      <c r="AA96" s="1174"/>
      <c r="AB96" s="1174"/>
      <c r="AC96" s="1678"/>
      <c r="AD96" s="574"/>
      <c r="AE96" s="574"/>
      <c r="AF96" s="574"/>
      <c r="AG96" s="574"/>
    </row>
    <row s="4362" customFormat="1" customHeight="1" ht="11.25">
      <c r="A97" s="1000"/>
      <c r="B97" s="1682"/>
      <c r="C97" s="1682"/>
      <c r="D97" s="347"/>
      <c r="J97" s="4461"/>
      <c r="K97" s="4461"/>
      <c r="L97" s="4461"/>
      <c r="M97" s="1174"/>
      <c r="N97" s="1682"/>
      <c r="O97" s="1682"/>
      <c r="P97" s="1174"/>
      <c r="Q97" s="1174"/>
      <c r="R97" s="1174"/>
      <c r="S97" s="1174"/>
      <c r="T97" s="1682"/>
      <c r="U97" s="1174"/>
      <c r="V97" s="1174"/>
      <c r="W97" s="552"/>
      <c r="X97" s="1174"/>
      <c r="Y97" s="1174"/>
      <c r="Z97" s="1174"/>
      <c r="AA97" s="1174"/>
      <c r="AB97" s="1174"/>
      <c r="AC97" s="1678"/>
      <c r="AD97" s="574"/>
      <c r="AE97" s="574"/>
      <c r="AF97" s="574"/>
      <c r="AG97" s="574"/>
    </row>
    <row s="4362" customFormat="1" customHeight="1" ht="11.25">
      <c r="A98" s="1000"/>
      <c r="B98" s="1682"/>
      <c r="C98" s="1682"/>
      <c r="D98" s="347"/>
      <c r="J98" s="4461"/>
      <c r="K98" s="4461"/>
      <c r="L98" s="4461"/>
      <c r="M98" s="1174"/>
      <c r="N98" s="1682"/>
      <c r="O98" s="1682"/>
      <c r="P98" s="1174"/>
      <c r="Q98" s="1174"/>
      <c r="R98" s="1174"/>
      <c r="S98" s="1174"/>
      <c r="T98" s="1682"/>
      <c r="U98" s="1174"/>
      <c r="V98" s="1174"/>
      <c r="W98" s="552"/>
      <c r="X98" s="1174"/>
      <c r="Y98" s="1174"/>
      <c r="Z98" s="1174"/>
      <c r="AA98" s="1174"/>
      <c r="AB98" s="1174"/>
      <c r="AC98" s="1678"/>
      <c r="AD98" s="574"/>
      <c r="AE98" s="574"/>
      <c r="AF98" s="574"/>
      <c r="AG98" s="574"/>
    </row>
    <row s="4362" customFormat="1" customHeight="1" ht="11.25">
      <c r="A99" s="1000"/>
      <c r="B99" s="1682"/>
      <c r="C99" s="1682"/>
      <c r="D99" s="347"/>
      <c r="J99" s="4461"/>
      <c r="K99" s="4461"/>
      <c r="L99" s="4461"/>
      <c r="M99" s="1174"/>
      <c r="N99" s="1682"/>
      <c r="O99" s="1682"/>
      <c r="P99" s="1174"/>
      <c r="Q99" s="1174"/>
      <c r="R99" s="1174"/>
      <c r="S99" s="1174"/>
      <c r="T99" s="1682"/>
      <c r="U99" s="1174"/>
      <c r="V99" s="1174"/>
      <c r="W99" s="552"/>
      <c r="X99" s="1174"/>
      <c r="Y99" s="1174"/>
      <c r="Z99" s="1174"/>
      <c r="AA99" s="1174"/>
      <c r="AB99" s="1174"/>
      <c r="AC99" s="1678"/>
      <c r="AD99" s="574"/>
      <c r="AE99" s="574"/>
      <c r="AF99" s="574"/>
      <c r="AG99" s="574"/>
    </row>
    <row s="4362" customFormat="1" customHeight="1" ht="11.25">
      <c r="A100" s="1000"/>
      <c r="B100" s="1682"/>
      <c r="C100" s="1682"/>
      <c r="D100" s="347"/>
      <c r="J100" s="4461"/>
      <c r="K100" s="4461"/>
      <c r="L100" s="4461"/>
      <c r="M100" s="1174"/>
      <c r="N100" s="1682"/>
      <c r="O100" s="1682"/>
      <c r="P100" s="1174"/>
      <c r="Q100" s="1174"/>
      <c r="R100" s="1174"/>
      <c r="S100" s="1174"/>
      <c r="T100" s="1682"/>
      <c r="U100" s="1174"/>
      <c r="V100" s="1174"/>
      <c r="W100" s="552"/>
      <c r="X100" s="1174"/>
      <c r="Y100" s="1174"/>
      <c r="Z100" s="1174"/>
      <c r="AA100" s="1174"/>
      <c r="AB100" s="1174"/>
      <c r="AC100" s="1678"/>
      <c r="AD100" s="574"/>
      <c r="AE100" s="574"/>
      <c r="AF100" s="574"/>
      <c r="AG100" s="574"/>
    </row>
    <row s="4362" customFormat="1" customHeight="1" ht="11.25">
      <c r="A101" s="1000"/>
      <c r="B101" s="1682"/>
      <c r="C101" s="1682"/>
      <c r="D101" s="347"/>
      <c r="J101" s="4461"/>
      <c r="K101" s="4461"/>
      <c r="L101" s="4461"/>
      <c r="M101" s="1174"/>
      <c r="N101" s="1682"/>
      <c r="O101" s="1682"/>
      <c r="P101" s="1174"/>
      <c r="Q101" s="1174"/>
      <c r="R101" s="1174"/>
      <c r="S101" s="1174"/>
      <c r="T101" s="1682"/>
      <c r="U101" s="1174"/>
      <c r="V101" s="1174"/>
      <c r="W101" s="552"/>
      <c r="X101" s="1174"/>
      <c r="Y101" s="1174"/>
      <c r="Z101" s="1174"/>
      <c r="AA101" s="1174"/>
      <c r="AB101" s="1174"/>
      <c r="AC101" s="1678"/>
      <c r="AD101" s="574"/>
      <c r="AE101" s="574"/>
      <c r="AF101" s="574"/>
      <c r="AG101" s="574"/>
    </row>
    <row s="4362" customFormat="1" customHeight="1" ht="11.25">
      <c r="A102" s="1000"/>
      <c r="B102" s="1682"/>
      <c r="C102" s="1682"/>
      <c r="D102" s="347"/>
      <c r="J102" s="4461"/>
      <c r="K102" s="4461"/>
      <c r="L102" s="4461"/>
      <c r="M102" s="1174"/>
      <c r="N102" s="1682"/>
      <c r="O102" s="1682"/>
      <c r="P102" s="1174"/>
      <c r="Q102" s="1174"/>
      <c r="R102" s="1174"/>
      <c r="S102" s="1174"/>
      <c r="T102" s="1682"/>
      <c r="U102" s="1174"/>
      <c r="V102" s="1174"/>
      <c r="W102" s="552"/>
      <c r="X102" s="1174"/>
      <c r="Y102" s="1174"/>
      <c r="Z102" s="1174"/>
      <c r="AA102" s="1174"/>
      <c r="AB102" s="1174"/>
      <c r="AC102" s="1678"/>
      <c r="AD102" s="574"/>
      <c r="AE102" s="574"/>
      <c r="AF102" s="574"/>
      <c r="AG102" s="574"/>
    </row>
    <row s="4362" customFormat="1" customHeight="1" ht="11.25">
      <c r="A103" s="1000"/>
      <c r="B103" s="1682"/>
      <c r="C103" s="1682"/>
      <c r="D103" s="347"/>
      <c r="J103" s="4461"/>
      <c r="K103" s="4461"/>
      <c r="L103" s="4461"/>
      <c r="M103" s="1174"/>
      <c r="N103" s="1682"/>
      <c r="O103" s="1682"/>
      <c r="P103" s="1174"/>
      <c r="Q103" s="1174"/>
      <c r="R103" s="1174"/>
      <c r="S103" s="1174"/>
      <c r="T103" s="1682"/>
      <c r="U103" s="1174"/>
      <c r="V103" s="1174"/>
      <c r="W103" s="552"/>
      <c r="X103" s="1174"/>
      <c r="Y103" s="1174"/>
      <c r="Z103" s="1174"/>
      <c r="AA103" s="1174"/>
      <c r="AB103" s="1174"/>
      <c r="AC103" s="1678"/>
      <c r="AD103" s="574"/>
      <c r="AE103" s="574"/>
      <c r="AF103" s="574"/>
      <c r="AG103" s="574"/>
    </row>
    <row s="4362" customFormat="1" customHeight="1" ht="11.25">
      <c r="A104" s="1000"/>
      <c r="B104" s="1682"/>
      <c r="C104" s="1682"/>
      <c r="D104" s="347"/>
      <c r="J104" s="4461"/>
      <c r="K104" s="4461"/>
      <c r="L104" s="4461"/>
      <c r="M104" s="1174"/>
      <c r="N104" s="1682"/>
      <c r="O104" s="1682"/>
      <c r="P104" s="1174"/>
      <c r="Q104" s="1174"/>
      <c r="R104" s="1174"/>
      <c r="S104" s="1174"/>
      <c r="T104" s="1682"/>
      <c r="U104" s="1174"/>
      <c r="V104" s="1174"/>
      <c r="W104" s="552"/>
      <c r="X104" s="1174"/>
      <c r="Y104" s="1174"/>
      <c r="Z104" s="1174"/>
      <c r="AA104" s="1174"/>
      <c r="AB104" s="1174"/>
      <c r="AC104" s="1678"/>
      <c r="AD104" s="574"/>
      <c r="AE104" s="574"/>
      <c r="AF104" s="574"/>
      <c r="AG104" s="574"/>
    </row>
    <row s="4362" customFormat="1" customHeight="1" ht="11.25">
      <c r="A105" s="1000"/>
      <c r="B105" s="1682"/>
      <c r="C105" s="1682"/>
      <c r="D105" s="347"/>
      <c r="J105" s="4461"/>
      <c r="K105" s="4461"/>
      <c r="L105" s="4461"/>
      <c r="M105" s="1174"/>
      <c r="N105" s="1682"/>
      <c r="O105" s="1682"/>
      <c r="P105" s="1174"/>
      <c r="Q105" s="1174"/>
      <c r="R105" s="1174"/>
      <c r="S105" s="1174"/>
      <c r="T105" s="1682"/>
      <c r="U105" s="1174"/>
      <c r="V105" s="1174"/>
      <c r="W105" s="552"/>
      <c r="X105" s="1174"/>
      <c r="Y105" s="1174"/>
      <c r="Z105" s="1174"/>
      <c r="AA105" s="1174"/>
      <c r="AB105" s="1174"/>
      <c r="AC105" s="1678"/>
      <c r="AD105" s="574"/>
      <c r="AE105" s="574"/>
      <c r="AF105" s="574"/>
      <c r="AG105" s="574"/>
    </row>
    <row s="4362" customFormat="1" customHeight="1" ht="11.25">
      <c r="A106" s="1000"/>
      <c r="B106" s="1682"/>
      <c r="C106" s="1682"/>
      <c r="D106" s="347"/>
      <c r="J106" s="4461"/>
      <c r="K106" s="4461"/>
      <c r="L106" s="4461"/>
      <c r="M106" s="1174"/>
      <c r="N106" s="1682"/>
      <c r="O106" s="1682"/>
      <c r="P106" s="1174"/>
      <c r="Q106" s="1174"/>
      <c r="R106" s="1174"/>
      <c r="S106" s="1174"/>
      <c r="T106" s="1682"/>
      <c r="U106" s="1174"/>
      <c r="V106" s="1174"/>
      <c r="W106" s="552"/>
      <c r="X106" s="1174"/>
      <c r="Y106" s="1174"/>
      <c r="Z106" s="1174"/>
      <c r="AA106" s="1174"/>
      <c r="AB106" s="1174"/>
      <c r="AC106" s="1678"/>
      <c r="AD106" s="574"/>
      <c r="AE106" s="574"/>
      <c r="AF106" s="574"/>
      <c r="AG106" s="574"/>
    </row>
    <row s="4362" customFormat="1" customHeight="1" ht="11.25">
      <c r="A107" s="1000"/>
      <c r="B107" s="1682"/>
      <c r="C107" s="1682"/>
      <c r="D107" s="347"/>
      <c r="J107" s="4461"/>
      <c r="K107" s="4461"/>
      <c r="L107" s="4461"/>
      <c r="M107" s="1174"/>
      <c r="N107" s="1682"/>
      <c r="O107" s="1682"/>
      <c r="P107" s="1174"/>
      <c r="Q107" s="1174"/>
      <c r="R107" s="1174"/>
      <c r="S107" s="1174"/>
      <c r="T107" s="1682"/>
      <c r="U107" s="1174"/>
      <c r="V107" s="1174"/>
      <c r="W107" s="552"/>
      <c r="X107" s="1174"/>
      <c r="Y107" s="1174"/>
      <c r="Z107" s="1174"/>
      <c r="AA107" s="1174"/>
      <c r="AB107" s="1174"/>
      <c r="AC107" s="1678"/>
      <c r="AD107" s="574"/>
      <c r="AE107" s="574"/>
      <c r="AF107" s="574"/>
      <c r="AG107" s="574"/>
    </row>
    <row s="4362" customFormat="1" customHeight="1" ht="11.25">
      <c r="A108" s="1000"/>
      <c r="B108" s="1682"/>
      <c r="C108" s="1682"/>
      <c r="D108" s="347"/>
      <c r="J108" s="4461"/>
      <c r="K108" s="4461"/>
      <c r="L108" s="4461"/>
      <c r="M108" s="1174"/>
      <c r="N108" s="1682"/>
      <c r="O108" s="1682"/>
      <c r="P108" s="1174"/>
      <c r="Q108" s="1174"/>
      <c r="R108" s="1174"/>
      <c r="S108" s="1174"/>
      <c r="T108" s="1682"/>
      <c r="U108" s="1174"/>
      <c r="V108" s="1174"/>
      <c r="W108" s="552"/>
      <c r="X108" s="1174"/>
      <c r="Y108" s="1174"/>
      <c r="Z108" s="1174"/>
      <c r="AA108" s="1174"/>
      <c r="AB108" s="1174"/>
      <c r="AC108" s="1678"/>
      <c r="AD108" s="574"/>
      <c r="AE108" s="574"/>
      <c r="AF108" s="574"/>
      <c r="AG108" s="574"/>
    </row>
    <row s="4362" customFormat="1" customHeight="1" ht="11.25">
      <c r="A109" s="1000"/>
      <c r="B109" s="1682"/>
      <c r="C109" s="1682"/>
      <c r="D109" s="347"/>
      <c r="J109" s="4461"/>
      <c r="K109" s="4461"/>
      <c r="L109" s="4461"/>
      <c r="M109" s="1174"/>
      <c r="N109" s="1682"/>
      <c r="O109" s="1682"/>
      <c r="P109" s="1174"/>
      <c r="Q109" s="1174"/>
      <c r="R109" s="1174"/>
      <c r="S109" s="1174"/>
      <c r="T109" s="1682"/>
      <c r="U109" s="1174"/>
      <c r="V109" s="1174"/>
      <c r="W109" s="552"/>
      <c r="X109" s="1174"/>
      <c r="Y109" s="1174"/>
      <c r="Z109" s="1174"/>
      <c r="AA109" s="1174"/>
      <c r="AB109" s="1174"/>
      <c r="AC109" s="1678"/>
      <c r="AD109" s="574"/>
      <c r="AE109" s="574"/>
      <c r="AF109" s="574"/>
      <c r="AG109" s="574"/>
    </row>
    <row s="4362" customFormat="1" customHeight="1" ht="11.25">
      <c r="A110" s="1000"/>
      <c r="B110" s="1682"/>
      <c r="C110" s="1682"/>
      <c r="D110" s="347"/>
      <c r="J110" s="4461"/>
      <c r="K110" s="4461"/>
      <c r="L110" s="4461"/>
      <c r="M110" s="1174"/>
      <c r="N110" s="1682"/>
      <c r="O110" s="1682"/>
      <c r="P110" s="1174"/>
      <c r="Q110" s="1174"/>
      <c r="R110" s="1174"/>
      <c r="S110" s="1174"/>
      <c r="T110" s="1682"/>
      <c r="U110" s="1174"/>
      <c r="V110" s="1174"/>
      <c r="W110" s="552"/>
      <c r="X110" s="1174"/>
      <c r="Y110" s="1174"/>
      <c r="Z110" s="1174"/>
      <c r="AA110" s="1174"/>
      <c r="AB110" s="1174"/>
      <c r="AC110" s="1678"/>
      <c r="AD110" s="574"/>
      <c r="AE110" s="574"/>
      <c r="AF110" s="574"/>
      <c r="AG110" s="574"/>
    </row>
    <row s="4362" customFormat="1" customHeight="1" ht="11.25">
      <c r="A111" s="1000"/>
      <c r="B111" s="1682"/>
      <c r="C111" s="1682"/>
      <c r="D111" s="347"/>
      <c r="J111" s="4461"/>
      <c r="K111" s="4461"/>
      <c r="L111" s="4461"/>
      <c r="M111" s="1174"/>
      <c r="N111" s="1682"/>
      <c r="O111" s="1682"/>
      <c r="P111" s="1174"/>
      <c r="Q111" s="1174"/>
      <c r="R111" s="1174"/>
      <c r="S111" s="1174"/>
      <c r="T111" s="1682"/>
      <c r="U111" s="1174"/>
      <c r="V111" s="1174"/>
      <c r="W111" s="552"/>
      <c r="X111" s="1174"/>
      <c r="Y111" s="1174"/>
      <c r="Z111" s="1174"/>
      <c r="AA111" s="1174"/>
      <c r="AB111" s="1174"/>
      <c r="AC111" s="1678"/>
      <c r="AD111" s="574"/>
      <c r="AE111" s="574"/>
      <c r="AF111" s="574"/>
      <c r="AG111" s="574"/>
    </row>
    <row s="4362" customFormat="1" customHeight="1" ht="11.25">
      <c r="A112" s="1000"/>
      <c r="B112" s="1682"/>
      <c r="C112" s="1682"/>
      <c r="D112" s="347"/>
      <c r="J112" s="4461"/>
      <c r="K112" s="4461"/>
      <c r="L112" s="4461"/>
      <c r="M112" s="1174"/>
      <c r="N112" s="1682"/>
      <c r="O112" s="1682"/>
      <c r="P112" s="1174"/>
      <c r="Q112" s="1174"/>
      <c r="R112" s="1174"/>
      <c r="S112" s="1174"/>
      <c r="T112" s="1682"/>
      <c r="U112" s="1174"/>
      <c r="V112" s="1174"/>
      <c r="W112" s="552"/>
      <c r="X112" s="1174"/>
      <c r="Y112" s="1174"/>
      <c r="Z112" s="1174"/>
      <c r="AA112" s="1174"/>
      <c r="AB112" s="1174"/>
      <c r="AC112" s="1678"/>
      <c r="AD112" s="574"/>
      <c r="AE112" s="574"/>
      <c r="AF112" s="574"/>
      <c r="AG112" s="574"/>
    </row>
    <row s="4362" customFormat="1" customHeight="1" ht="11.25">
      <c r="A113" s="1000"/>
      <c r="B113" s="1682"/>
      <c r="C113" s="1682"/>
      <c r="D113" s="347"/>
      <c r="J113" s="4461"/>
      <c r="K113" s="4461"/>
      <c r="L113" s="4461"/>
      <c r="M113" s="1174"/>
      <c r="N113" s="1682"/>
      <c r="O113" s="1682"/>
      <c r="P113" s="1174"/>
      <c r="Q113" s="1174"/>
      <c r="R113" s="1174"/>
      <c r="S113" s="1174"/>
      <c r="T113" s="1682"/>
      <c r="U113" s="1174"/>
      <c r="V113" s="1174"/>
      <c r="W113" s="552"/>
      <c r="X113" s="1174"/>
      <c r="Y113" s="1174"/>
      <c r="Z113" s="1174"/>
      <c r="AA113" s="1174"/>
      <c r="AB113" s="1174"/>
      <c r="AC113" s="1678"/>
      <c r="AD113" s="574"/>
      <c r="AE113" s="574"/>
      <c r="AF113" s="574"/>
      <c r="AG113" s="574"/>
    </row>
    <row s="4362" customFormat="1" customHeight="1" ht="11.25">
      <c r="A114" s="1000"/>
      <c r="B114" s="1682"/>
      <c r="C114" s="1682"/>
      <c r="D114" s="347"/>
      <c r="J114" s="4461"/>
      <c r="K114" s="4461"/>
      <c r="L114" s="4461"/>
      <c r="M114" s="1174"/>
      <c r="N114" s="1682"/>
      <c r="O114" s="1682"/>
      <c r="P114" s="1174"/>
      <c r="Q114" s="1174"/>
      <c r="R114" s="1174"/>
      <c r="S114" s="1174"/>
      <c r="T114" s="1682"/>
      <c r="U114" s="1174"/>
      <c r="V114" s="1174"/>
      <c r="W114" s="552"/>
      <c r="X114" s="1174"/>
      <c r="Y114" s="1174"/>
      <c r="Z114" s="1174"/>
      <c r="AA114" s="1174"/>
      <c r="AB114" s="1174"/>
      <c r="AC114" s="1678"/>
      <c r="AD114" s="574"/>
      <c r="AE114" s="574"/>
      <c r="AF114" s="574"/>
      <c r="AG114" s="574"/>
    </row>
    <row s="4362" customFormat="1" customHeight="1" ht="11.25">
      <c r="A115" s="1000"/>
      <c r="B115" s="1682"/>
      <c r="C115" s="1682"/>
      <c r="D115" s="347"/>
      <c r="J115" s="4461"/>
      <c r="K115" s="4461"/>
      <c r="L115" s="4461"/>
      <c r="M115" s="1174"/>
      <c r="N115" s="1682"/>
      <c r="O115" s="1682"/>
      <c r="P115" s="1174"/>
      <c r="Q115" s="1174"/>
      <c r="R115" s="1174"/>
      <c r="S115" s="1174"/>
      <c r="T115" s="1682"/>
      <c r="U115" s="1174"/>
      <c r="V115" s="1174"/>
      <c r="W115" s="552"/>
      <c r="X115" s="1174"/>
      <c r="Y115" s="1174"/>
      <c r="Z115" s="1174"/>
      <c r="AA115" s="1174"/>
      <c r="AB115" s="1174"/>
      <c r="AC115" s="1678"/>
      <c r="AD115" s="574"/>
      <c r="AE115" s="574"/>
      <c r="AF115" s="574"/>
      <c r="AG115" s="574"/>
    </row>
    <row s="4362" customFormat="1" customHeight="1" ht="11.25">
      <c r="A116" s="1000"/>
      <c r="B116" s="1682"/>
      <c r="C116" s="1682"/>
      <c r="D116" s="347"/>
      <c r="J116" s="4461"/>
      <c r="K116" s="4461"/>
      <c r="L116" s="4461"/>
      <c r="M116" s="1174"/>
      <c r="N116" s="1682"/>
      <c r="O116" s="1682"/>
      <c r="P116" s="1174"/>
      <c r="Q116" s="1174"/>
      <c r="R116" s="1174"/>
      <c r="S116" s="1174"/>
      <c r="T116" s="1682"/>
      <c r="U116" s="1174"/>
      <c r="V116" s="1174"/>
      <c r="W116" s="552"/>
      <c r="X116" s="1174"/>
      <c r="Y116" s="1174"/>
      <c r="Z116" s="1174"/>
      <c r="AA116" s="1174"/>
      <c r="AB116" s="1174"/>
      <c r="AC116" s="1678"/>
      <c r="AD116" s="574"/>
      <c r="AE116" s="574"/>
      <c r="AF116" s="574"/>
      <c r="AG116" s="574"/>
    </row>
    <row s="4362" customFormat="1" customHeight="1" ht="11.25">
      <c r="A117" s="1000"/>
      <c r="B117" s="1682"/>
      <c r="C117" s="1682"/>
      <c r="D117" s="347"/>
      <c r="J117" s="4461"/>
      <c r="K117" s="4461"/>
      <c r="L117" s="4461"/>
      <c r="M117" s="1174"/>
      <c r="N117" s="1682"/>
      <c r="O117" s="1682"/>
      <c r="P117" s="1174"/>
      <c r="Q117" s="1174"/>
      <c r="R117" s="1174"/>
      <c r="S117" s="1174"/>
      <c r="T117" s="1682"/>
      <c r="U117" s="1174"/>
      <c r="V117" s="1174"/>
      <c r="W117" s="552"/>
      <c r="X117" s="1174"/>
      <c r="Y117" s="1174"/>
      <c r="Z117" s="1174"/>
      <c r="AA117" s="1174"/>
      <c r="AB117" s="1174"/>
      <c r="AC117" s="1678"/>
      <c r="AD117" s="574"/>
      <c r="AE117" s="574"/>
      <c r="AF117" s="574"/>
      <c r="AG117" s="574"/>
    </row>
    <row s="4362" customFormat="1" customHeight="1" ht="11.25">
      <c r="A118" s="1000"/>
      <c r="B118" s="1682"/>
      <c r="C118" s="1682"/>
      <c r="D118" s="347"/>
      <c r="J118" s="4461"/>
      <c r="K118" s="4461"/>
      <c r="L118" s="4461"/>
      <c r="M118" s="1174"/>
      <c r="N118" s="1682"/>
      <c r="O118" s="1682"/>
      <c r="P118" s="1174"/>
      <c r="Q118" s="1174"/>
      <c r="R118" s="1174"/>
      <c r="S118" s="1174"/>
      <c r="T118" s="1682"/>
      <c r="U118" s="1174"/>
      <c r="V118" s="1174"/>
      <c r="W118" s="552"/>
      <c r="X118" s="1174"/>
      <c r="Y118" s="1174"/>
      <c r="Z118" s="1174"/>
      <c r="AA118" s="1174"/>
      <c r="AB118" s="1174"/>
      <c r="AC118" s="1678"/>
      <c r="AD118" s="574"/>
      <c r="AE118" s="574"/>
      <c r="AF118" s="574"/>
      <c r="AG118" s="574"/>
    </row>
    <row s="4362" customFormat="1" customHeight="1" ht="11.25">
      <c r="A119" s="1000"/>
      <c r="B119" s="1682"/>
      <c r="C119" s="1682"/>
      <c r="D119" s="347"/>
      <c r="J119" s="4461"/>
      <c r="K119" s="4461"/>
      <c r="L119" s="4461"/>
      <c r="M119" s="1174"/>
      <c r="N119" s="1682"/>
      <c r="O119" s="1682"/>
      <c r="P119" s="1174"/>
      <c r="Q119" s="1174"/>
      <c r="R119" s="1174"/>
      <c r="S119" s="1174"/>
      <c r="T119" s="1682"/>
      <c r="U119" s="1174"/>
      <c r="V119" s="1174"/>
      <c r="W119" s="552"/>
      <c r="X119" s="1174"/>
      <c r="Y119" s="1174"/>
      <c r="Z119" s="1174"/>
      <c r="AA119" s="1174"/>
      <c r="AB119" s="1174"/>
      <c r="AC119" s="1678"/>
      <c r="AD119" s="574"/>
      <c r="AE119" s="574"/>
      <c r="AF119" s="574"/>
      <c r="AG119" s="574"/>
    </row>
    <row s="4362" customFormat="1" customHeight="1" ht="11.25">
      <c r="A120" s="1000"/>
      <c r="B120" s="1682"/>
      <c r="C120" s="1682"/>
      <c r="D120" s="347"/>
      <c r="J120" s="4461"/>
      <c r="K120" s="4461"/>
      <c r="L120" s="4461"/>
      <c r="M120" s="1174"/>
      <c r="N120" s="1682"/>
      <c r="O120" s="1682"/>
      <c r="P120" s="1174"/>
      <c r="Q120" s="1174"/>
      <c r="R120" s="1174"/>
      <c r="S120" s="1174"/>
      <c r="T120" s="1682"/>
      <c r="U120" s="1174"/>
      <c r="V120" s="1174"/>
      <c r="W120" s="552"/>
      <c r="X120" s="1174"/>
      <c r="Y120" s="1174"/>
      <c r="Z120" s="1174"/>
      <c r="AA120" s="1174"/>
      <c r="AB120" s="1174"/>
      <c r="AC120" s="1678"/>
      <c r="AD120" s="574"/>
      <c r="AE120" s="574"/>
      <c r="AF120" s="574"/>
      <c r="AG120" s="574"/>
    </row>
    <row s="4362" customFormat="1" customHeight="1" ht="11.25">
      <c r="A121" s="1000"/>
      <c r="B121" s="1682"/>
      <c r="C121" s="1682"/>
      <c r="D121" s="347"/>
      <c r="J121" s="4461"/>
      <c r="K121" s="4461"/>
      <c r="L121" s="4461"/>
      <c r="M121" s="1174"/>
      <c r="N121" s="1682"/>
      <c r="O121" s="1682"/>
      <c r="P121" s="1174"/>
      <c r="Q121" s="1174"/>
      <c r="R121" s="1174"/>
      <c r="S121" s="1174"/>
      <c r="T121" s="1682"/>
      <c r="U121" s="1174"/>
      <c r="V121" s="1174"/>
      <c r="W121" s="552"/>
      <c r="X121" s="1174"/>
      <c r="Y121" s="1174"/>
      <c r="Z121" s="1174"/>
      <c r="AA121" s="1174"/>
      <c r="AB121" s="1174"/>
      <c r="AC121" s="1678"/>
      <c r="AD121" s="574"/>
      <c r="AE121" s="574"/>
      <c r="AF121" s="574"/>
      <c r="AG121" s="574"/>
    </row>
    <row s="4362" customFormat="1" customHeight="1" ht="11.25">
      <c r="A122" s="1000"/>
      <c r="B122" s="1682"/>
      <c r="C122" s="1682"/>
      <c r="D122" s="347"/>
      <c r="J122" s="4461"/>
      <c r="K122" s="4461"/>
      <c r="L122" s="4461"/>
      <c r="M122" s="1174"/>
      <c r="N122" s="1682"/>
      <c r="O122" s="1682"/>
      <c r="P122" s="1174"/>
      <c r="Q122" s="1174"/>
      <c r="R122" s="1174"/>
      <c r="S122" s="1174"/>
      <c r="T122" s="1682"/>
      <c r="U122" s="1174"/>
      <c r="V122" s="1174"/>
      <c r="W122" s="552"/>
      <c r="X122" s="1174"/>
      <c r="Y122" s="1174"/>
      <c r="Z122" s="1174"/>
      <c r="AA122" s="1174"/>
      <c r="AB122" s="1174"/>
      <c r="AC122" s="1678"/>
      <c r="AD122" s="574"/>
      <c r="AE122" s="574"/>
      <c r="AF122" s="574"/>
      <c r="AG122" s="574"/>
    </row>
    <row s="4362" customFormat="1" customHeight="1" ht="11.25">
      <c r="A123" s="1000"/>
      <c r="B123" s="1682"/>
      <c r="C123" s="1682"/>
      <c r="D123" s="347"/>
      <c r="J123" s="4461"/>
      <c r="K123" s="4461"/>
      <c r="L123" s="4461"/>
      <c r="M123" s="1174"/>
      <c r="N123" s="1682"/>
      <c r="O123" s="1682"/>
      <c r="P123" s="1174"/>
      <c r="Q123" s="1174"/>
      <c r="R123" s="1174"/>
      <c r="S123" s="1174"/>
      <c r="T123" s="1682"/>
      <c r="U123" s="1174"/>
      <c r="V123" s="1174"/>
      <c r="W123" s="552"/>
      <c r="X123" s="1174"/>
      <c r="Y123" s="1174"/>
      <c r="Z123" s="1174"/>
      <c r="AA123" s="1174"/>
      <c r="AB123" s="1174"/>
      <c r="AC123" s="1678"/>
      <c r="AD123" s="574"/>
      <c r="AE123" s="574"/>
      <c r="AF123" s="574"/>
      <c r="AG123" s="574"/>
    </row>
    <row s="4362" customFormat="1" customHeight="1" ht="11.25">
      <c r="A124" s="1000"/>
      <c r="B124" s="1682"/>
      <c r="C124" s="1682"/>
      <c r="D124" s="347"/>
      <c r="J124" s="4461"/>
      <c r="K124" s="4461"/>
      <c r="L124" s="4461"/>
      <c r="M124" s="1174"/>
      <c r="N124" s="1682"/>
      <c r="O124" s="1682"/>
      <c r="P124" s="1174"/>
      <c r="Q124" s="1174"/>
      <c r="R124" s="1174"/>
      <c r="S124" s="1174"/>
      <c r="T124" s="1682"/>
      <c r="U124" s="1174"/>
      <c r="V124" s="1174"/>
      <c r="W124" s="552"/>
      <c r="X124" s="1174"/>
      <c r="Y124" s="1174"/>
      <c r="Z124" s="1174"/>
      <c r="AA124" s="1174"/>
      <c r="AB124" s="1174"/>
      <c r="AC124" s="1678"/>
      <c r="AD124" s="574"/>
      <c r="AE124" s="574"/>
      <c r="AF124" s="574"/>
      <c r="AG124" s="574"/>
    </row>
    <row s="4362" customFormat="1" customHeight="1" ht="11.25">
      <c r="A125" s="1000"/>
      <c r="B125" s="1682"/>
      <c r="C125" s="1682"/>
      <c r="D125" s="347"/>
      <c r="J125" s="4461"/>
      <c r="K125" s="4461"/>
      <c r="L125" s="4461"/>
      <c r="M125" s="1174"/>
      <c r="N125" s="1682"/>
      <c r="O125" s="1682"/>
      <c r="P125" s="1174"/>
      <c r="Q125" s="1174"/>
      <c r="R125" s="1174"/>
      <c r="S125" s="1174"/>
      <c r="T125" s="1682"/>
      <c r="U125" s="1174"/>
      <c r="V125" s="1174"/>
      <c r="W125" s="552"/>
      <c r="X125" s="1174"/>
      <c r="Y125" s="1174"/>
      <c r="Z125" s="1174"/>
      <c r="AA125" s="1174"/>
      <c r="AB125" s="1174"/>
      <c r="AC125" s="1678"/>
      <c r="AD125" s="574"/>
      <c r="AE125" s="574"/>
      <c r="AF125" s="574"/>
      <c r="AG125" s="574"/>
    </row>
    <row s="4362" customFormat="1" customHeight="1" ht="11.25">
      <c r="A126" s="1000"/>
      <c r="B126" s="1682"/>
      <c r="C126" s="1682"/>
      <c r="D126" s="347"/>
      <c r="J126" s="4461"/>
      <c r="K126" s="4461"/>
      <c r="L126" s="4461"/>
      <c r="M126" s="1174"/>
      <c r="N126" s="1682"/>
      <c r="O126" s="1682"/>
      <c r="P126" s="1174"/>
      <c r="Q126" s="1174"/>
      <c r="R126" s="1174"/>
      <c r="S126" s="1174"/>
      <c r="T126" s="1682"/>
      <c r="U126" s="1174"/>
      <c r="V126" s="1174"/>
      <c r="W126" s="552"/>
      <c r="X126" s="1174"/>
      <c r="Y126" s="1174"/>
      <c r="Z126" s="1174"/>
      <c r="AA126" s="1174"/>
      <c r="AB126" s="1174"/>
      <c r="AC126" s="1678"/>
      <c r="AD126" s="574"/>
      <c r="AE126" s="574"/>
      <c r="AF126" s="574"/>
      <c r="AG126" s="574"/>
    </row>
    <row s="4362" customFormat="1" customHeight="1" ht="11.25">
      <c r="A127" s="1000"/>
      <c r="B127" s="1682"/>
      <c r="C127" s="1682"/>
      <c r="D127" s="347"/>
      <c r="J127" s="4461"/>
      <c r="K127" s="4461"/>
      <c r="L127" s="4461"/>
      <c r="M127" s="1174"/>
      <c r="N127" s="1682"/>
      <c r="O127" s="1682"/>
      <c r="P127" s="1174"/>
      <c r="Q127" s="1174"/>
      <c r="R127" s="1174"/>
      <c r="S127" s="1174"/>
      <c r="T127" s="1682"/>
      <c r="U127" s="1174"/>
      <c r="V127" s="1174"/>
      <c r="W127" s="552"/>
      <c r="X127" s="1174"/>
      <c r="Y127" s="1174"/>
      <c r="Z127" s="1174"/>
      <c r="AA127" s="1174"/>
      <c r="AB127" s="1174"/>
      <c r="AC127" s="1678"/>
      <c r="AD127" s="574"/>
      <c r="AE127" s="574"/>
      <c r="AF127" s="574"/>
      <c r="AG127" s="574"/>
    </row>
    <row s="4362" customFormat="1" customHeight="1" ht="11.25">
      <c r="A128" s="1000"/>
      <c r="B128" s="1682"/>
      <c r="C128" s="1682"/>
      <c r="D128" s="347"/>
      <c r="J128" s="4461"/>
      <c r="K128" s="4461"/>
      <c r="L128" s="4461"/>
      <c r="M128" s="1174"/>
      <c r="N128" s="1682"/>
      <c r="O128" s="1682"/>
      <c r="P128" s="1174"/>
      <c r="Q128" s="1174"/>
      <c r="R128" s="1174"/>
      <c r="S128" s="1174"/>
      <c r="T128" s="1682"/>
      <c r="U128" s="1174"/>
      <c r="V128" s="1174"/>
      <c r="W128" s="552"/>
      <c r="X128" s="1174"/>
      <c r="Y128" s="1174"/>
      <c r="Z128" s="1174"/>
      <c r="AA128" s="1174"/>
      <c r="AB128" s="1174"/>
      <c r="AC128" s="1678"/>
      <c r="AD128" s="574"/>
      <c r="AE128" s="574"/>
      <c r="AF128" s="574"/>
      <c r="AG128" s="574"/>
    </row>
    <row s="4362" customFormat="1" customHeight="1" ht="11.25">
      <c r="A129" s="1000"/>
      <c r="B129" s="1682"/>
      <c r="C129" s="1682"/>
      <c r="D129" s="347"/>
      <c r="J129" s="4461"/>
      <c r="K129" s="4461"/>
      <c r="L129" s="4461"/>
      <c r="M129" s="1174"/>
      <c r="N129" s="1682"/>
      <c r="O129" s="1682"/>
      <c r="P129" s="1174"/>
      <c r="Q129" s="1174"/>
      <c r="R129" s="1174"/>
      <c r="S129" s="1174"/>
      <c r="T129" s="1682"/>
      <c r="U129" s="1174"/>
      <c r="V129" s="1174"/>
      <c r="W129" s="552"/>
      <c r="X129" s="1174"/>
      <c r="Y129" s="1174"/>
      <c r="Z129" s="1174"/>
      <c r="AA129" s="1174"/>
      <c r="AB129" s="1174"/>
      <c r="AC129" s="1678"/>
      <c r="AD129" s="574"/>
      <c r="AE129" s="574"/>
      <c r="AF129" s="574"/>
      <c r="AG129" s="574"/>
    </row>
    <row s="4362" customFormat="1" customHeight="1" ht="11.25">
      <c r="A130" s="1000"/>
      <c r="B130" s="1682"/>
      <c r="C130" s="1682"/>
      <c r="D130" s="347"/>
      <c r="J130" s="4461"/>
      <c r="K130" s="4461"/>
      <c r="L130" s="4461"/>
      <c r="M130" s="1174"/>
      <c r="N130" s="1682"/>
      <c r="O130" s="1682"/>
      <c r="P130" s="1174"/>
      <c r="Q130" s="1174"/>
      <c r="R130" s="1174"/>
      <c r="S130" s="1174"/>
      <c r="T130" s="1682"/>
      <c r="U130" s="1174"/>
      <c r="V130" s="1174"/>
      <c r="W130" s="552"/>
      <c r="X130" s="1174"/>
      <c r="Y130" s="1174"/>
      <c r="Z130" s="1174"/>
      <c r="AA130" s="1174"/>
      <c r="AB130" s="1174"/>
      <c r="AC130" s="1678"/>
      <c r="AD130" s="574"/>
      <c r="AE130" s="574"/>
      <c r="AF130" s="574"/>
      <c r="AG130" s="574"/>
    </row>
    <row s="4362" customFormat="1" customHeight="1" ht="11.25">
      <c r="A131" s="1000"/>
      <c r="B131" s="1682"/>
      <c r="C131" s="1682"/>
      <c r="D131" s="347"/>
      <c r="J131" s="4461"/>
      <c r="K131" s="4461"/>
      <c r="L131" s="4461"/>
      <c r="M131" s="1174"/>
      <c r="N131" s="1682"/>
      <c r="O131" s="1682"/>
      <c r="P131" s="1174"/>
      <c r="Q131" s="1174"/>
      <c r="R131" s="1174"/>
      <c r="S131" s="1174"/>
      <c r="T131" s="1682"/>
      <c r="U131" s="1174"/>
      <c r="V131" s="1174"/>
      <c r="W131" s="552"/>
      <c r="X131" s="1174"/>
      <c r="Y131" s="1174"/>
      <c r="Z131" s="1174"/>
      <c r="AA131" s="1174"/>
      <c r="AB131" s="1174"/>
      <c r="AC131" s="1678"/>
      <c r="AD131" s="574"/>
      <c r="AE131" s="574"/>
      <c r="AF131" s="574"/>
      <c r="AG131" s="574"/>
    </row>
    <row s="4362" customFormat="1" customHeight="1" ht="11.25">
      <c r="A132" s="1000"/>
      <c r="B132" s="1682"/>
      <c r="C132" s="1682"/>
      <c r="D132" s="347"/>
      <c r="J132" s="4461"/>
      <c r="K132" s="4461"/>
      <c r="L132" s="4461"/>
      <c r="M132" s="1174"/>
      <c r="N132" s="1682"/>
      <c r="O132" s="1682"/>
      <c r="P132" s="1174"/>
      <c r="Q132" s="1174"/>
      <c r="R132" s="1174"/>
      <c r="S132" s="1174"/>
      <c r="T132" s="1682"/>
      <c r="U132" s="1174"/>
      <c r="V132" s="1174"/>
      <c r="W132" s="552"/>
      <c r="X132" s="1174"/>
      <c r="Y132" s="1174"/>
      <c r="Z132" s="1174"/>
      <c r="AA132" s="1174"/>
      <c r="AB132" s="1174"/>
      <c r="AC132" s="1678"/>
      <c r="AD132" s="574"/>
      <c r="AE132" s="574"/>
      <c r="AF132" s="574"/>
      <c r="AG132" s="574"/>
    </row>
    <row s="4362" customFormat="1" customHeight="1" ht="11.25">
      <c r="A133" s="1000"/>
      <c r="B133" s="1682"/>
      <c r="C133" s="1682"/>
      <c r="D133" s="347"/>
      <c r="J133" s="4461"/>
      <c r="K133" s="4461"/>
      <c r="L133" s="4461"/>
      <c r="M133" s="1174"/>
      <c r="N133" s="1682"/>
      <c r="O133" s="1682"/>
      <c r="P133" s="1174"/>
      <c r="Q133" s="1174"/>
      <c r="R133" s="1174"/>
      <c r="S133" s="1174"/>
      <c r="T133" s="1682"/>
      <c r="U133" s="1174"/>
      <c r="V133" s="1174"/>
      <c r="W133" s="552"/>
      <c r="X133" s="1174"/>
      <c r="Y133" s="1174"/>
      <c r="Z133" s="1174"/>
      <c r="AA133" s="1174"/>
      <c r="AB133" s="1174"/>
      <c r="AC133" s="1678"/>
      <c r="AD133" s="574"/>
      <c r="AE133" s="574"/>
      <c r="AF133" s="574"/>
      <c r="AG133" s="574"/>
    </row>
    <row s="4362" customFormat="1" customHeight="1" ht="11.25">
      <c r="A134" s="1000"/>
      <c r="B134" s="1682"/>
      <c r="C134" s="1682"/>
      <c r="D134" s="347"/>
      <c r="J134" s="4461"/>
      <c r="K134" s="4461"/>
      <c r="L134" s="4461"/>
      <c r="M134" s="1174"/>
      <c r="N134" s="1682"/>
      <c r="O134" s="1682"/>
      <c r="P134" s="1174"/>
      <c r="Q134" s="1174"/>
      <c r="R134" s="1174"/>
      <c r="S134" s="1174"/>
      <c r="T134" s="1682"/>
      <c r="U134" s="1174"/>
      <c r="V134" s="1174"/>
      <c r="W134" s="552"/>
      <c r="X134" s="1174"/>
      <c r="Y134" s="1174"/>
      <c r="Z134" s="1174"/>
      <c r="AA134" s="1174"/>
      <c r="AB134" s="1174"/>
      <c r="AC134" s="1678"/>
      <c r="AD134" s="574"/>
      <c r="AE134" s="574"/>
      <c r="AF134" s="574"/>
      <c r="AG134" s="574"/>
    </row>
    <row s="4362" customFormat="1" customHeight="1" ht="11.25">
      <c r="A135" s="1000"/>
      <c r="B135" s="1682"/>
      <c r="C135" s="1682"/>
      <c r="D135" s="347"/>
      <c r="J135" s="4461"/>
      <c r="K135" s="4461"/>
      <c r="L135" s="4461"/>
      <c r="M135" s="1174"/>
      <c r="N135" s="1682"/>
      <c r="O135" s="1682"/>
      <c r="P135" s="1174"/>
      <c r="Q135" s="1174"/>
      <c r="R135" s="1174"/>
      <c r="S135" s="1174"/>
      <c r="T135" s="1682"/>
      <c r="U135" s="1174"/>
      <c r="V135" s="1174"/>
      <c r="W135" s="552"/>
      <c r="X135" s="1174"/>
      <c r="Y135" s="1174"/>
      <c r="Z135" s="1174"/>
      <c r="AA135" s="1174"/>
      <c r="AB135" s="1174"/>
      <c r="AC135" s="1678"/>
      <c r="AD135" s="574"/>
      <c r="AE135" s="574"/>
      <c r="AF135" s="574"/>
      <c r="AG135" s="574"/>
    </row>
    <row s="4362" customFormat="1" customHeight="1" ht="11.25">
      <c r="A136" s="1000"/>
      <c r="B136" s="1682"/>
      <c r="C136" s="1682"/>
      <c r="D136" s="347"/>
      <c r="J136" s="4461"/>
      <c r="K136" s="4461"/>
      <c r="L136" s="4461"/>
      <c r="M136" s="1174"/>
      <c r="N136" s="1682"/>
      <c r="O136" s="1682"/>
      <c r="P136" s="1174"/>
      <c r="Q136" s="1174"/>
      <c r="R136" s="1174"/>
      <c r="S136" s="1174"/>
      <c r="T136" s="1682"/>
      <c r="U136" s="1174"/>
      <c r="V136" s="1174"/>
      <c r="W136" s="552"/>
      <c r="X136" s="1174"/>
      <c r="Y136" s="1174"/>
      <c r="Z136" s="1174"/>
      <c r="AA136" s="1174"/>
      <c r="AB136" s="1174"/>
      <c r="AC136" s="1678"/>
      <c r="AD136" s="574"/>
      <c r="AE136" s="574"/>
      <c r="AF136" s="574"/>
      <c r="AG136" s="574"/>
    </row>
    <row s="4362" customFormat="1" customHeight="1" ht="11.25">
      <c r="A137" s="1000"/>
      <c r="B137" s="1682"/>
      <c r="C137" s="1682"/>
      <c r="D137" s="347"/>
      <c r="J137" s="4461"/>
      <c r="K137" s="4461"/>
      <c r="L137" s="4461"/>
      <c r="M137" s="1174"/>
      <c r="N137" s="1682"/>
      <c r="O137" s="1682"/>
      <c r="P137" s="1174"/>
      <c r="Q137" s="1174"/>
      <c r="R137" s="1174"/>
      <c r="S137" s="1174"/>
      <c r="T137" s="1682"/>
      <c r="U137" s="1174"/>
      <c r="V137" s="1174"/>
      <c r="W137" s="552"/>
      <c r="X137" s="1174"/>
      <c r="Y137" s="1174"/>
      <c r="Z137" s="1174"/>
      <c r="AA137" s="1174"/>
      <c r="AB137" s="1174"/>
      <c r="AC137" s="1678"/>
      <c r="AD137" s="574"/>
      <c r="AE137" s="574"/>
      <c r="AF137" s="574"/>
      <c r="AG137" s="574"/>
    </row>
    <row s="4362" customFormat="1" customHeight="1" ht="11.25">
      <c r="A138" s="1000"/>
      <c r="B138" s="1682"/>
      <c r="C138" s="1682"/>
      <c r="D138" s="347"/>
      <c r="J138" s="4461"/>
      <c r="K138" s="4461"/>
      <c r="L138" s="4461"/>
      <c r="M138" s="1174"/>
      <c r="N138" s="1682"/>
      <c r="O138" s="1682"/>
      <c r="P138" s="1174"/>
      <c r="Q138" s="1174"/>
      <c r="R138" s="1174"/>
      <c r="S138" s="1174"/>
      <c r="T138" s="1682"/>
      <c r="U138" s="1174"/>
      <c r="V138" s="1174"/>
      <c r="W138" s="552"/>
      <c r="X138" s="1174"/>
      <c r="Y138" s="1174"/>
      <c r="Z138" s="1174"/>
      <c r="AA138" s="1174"/>
      <c r="AB138" s="1174"/>
      <c r="AC138" s="1678"/>
      <c r="AD138" s="574"/>
      <c r="AE138" s="574"/>
      <c r="AF138" s="574"/>
      <c r="AG138" s="574"/>
    </row>
    <row s="4362" customFormat="1" customHeight="1" ht="11.25">
      <c r="A139" s="1000"/>
      <c r="B139" s="1682"/>
      <c r="C139" s="1682"/>
      <c r="D139" s="347"/>
      <c r="J139" s="4461"/>
      <c r="K139" s="4461"/>
      <c r="L139" s="4461"/>
      <c r="M139" s="1174"/>
      <c r="N139" s="1682"/>
      <c r="O139" s="1682"/>
      <c r="P139" s="1174"/>
      <c r="Q139" s="1174"/>
      <c r="R139" s="1174"/>
      <c r="S139" s="1174"/>
      <c r="T139" s="1682"/>
      <c r="U139" s="1174"/>
      <c r="V139" s="1174"/>
      <c r="W139" s="552"/>
      <c r="X139" s="1174"/>
      <c r="Y139" s="1174"/>
      <c r="Z139" s="1174"/>
      <c r="AA139" s="1174"/>
      <c r="AB139" s="1174"/>
      <c r="AC139" s="1678"/>
      <c r="AD139" s="574"/>
      <c r="AE139" s="574"/>
      <c r="AF139" s="574"/>
      <c r="AG139" s="574"/>
    </row>
    <row s="4362" customFormat="1" customHeight="1" ht="11.25">
      <c r="A140" s="1000"/>
      <c r="B140" s="1682"/>
      <c r="C140" s="1682"/>
      <c r="D140" s="347"/>
      <c r="J140" s="4461"/>
      <c r="K140" s="4461"/>
      <c r="L140" s="4461"/>
      <c r="M140" s="1174"/>
      <c r="N140" s="1682"/>
      <c r="O140" s="1682"/>
      <c r="P140" s="1174"/>
      <c r="Q140" s="1174"/>
      <c r="R140" s="1174"/>
      <c r="S140" s="1174"/>
      <c r="T140" s="1682"/>
      <c r="U140" s="1174"/>
      <c r="V140" s="1174"/>
      <c r="W140" s="552"/>
      <c r="X140" s="1174"/>
      <c r="Y140" s="1174"/>
      <c r="Z140" s="1174"/>
      <c r="AA140" s="1174"/>
      <c r="AB140" s="1174"/>
      <c r="AC140" s="1678"/>
      <c r="AD140" s="574"/>
      <c r="AE140" s="574"/>
      <c r="AF140" s="574"/>
      <c r="AG140" s="574"/>
    </row>
    <row s="4362" customFormat="1" customHeight="1" ht="11.25">
      <c r="A141" s="1000"/>
      <c r="B141" s="1682"/>
      <c r="C141" s="1682"/>
      <c r="D141" s="347"/>
      <c r="J141" s="4461"/>
      <c r="K141" s="4461"/>
      <c r="L141" s="4461"/>
      <c r="M141" s="1174"/>
      <c r="N141" s="1682"/>
      <c r="O141" s="1682"/>
      <c r="P141" s="1174"/>
      <c r="Q141" s="1174"/>
      <c r="R141" s="1174"/>
      <c r="S141" s="1174"/>
      <c r="T141" s="1682"/>
      <c r="U141" s="1174"/>
      <c r="V141" s="1174"/>
      <c r="W141" s="552"/>
      <c r="X141" s="1174"/>
      <c r="Y141" s="1174"/>
      <c r="Z141" s="1174"/>
      <c r="AA141" s="1174"/>
      <c r="AB141" s="1174"/>
      <c r="AC141" s="1678"/>
      <c r="AD141" s="574"/>
      <c r="AE141" s="574"/>
      <c r="AF141" s="574"/>
      <c r="AG141" s="574"/>
    </row>
    <row s="4362" customFormat="1" customHeight="1" ht="11.25">
      <c r="A142" s="1000"/>
      <c r="B142" s="1682"/>
      <c r="C142" s="1682"/>
      <c r="D142" s="347"/>
      <c r="J142" s="4461"/>
      <c r="K142" s="4461"/>
      <c r="L142" s="4461"/>
      <c r="M142" s="1174"/>
      <c r="N142" s="1682"/>
      <c r="O142" s="1682"/>
      <c r="P142" s="1174"/>
      <c r="Q142" s="1174"/>
      <c r="R142" s="1174"/>
      <c r="S142" s="1174"/>
      <c r="T142" s="1682"/>
      <c r="U142" s="1174"/>
      <c r="V142" s="1174"/>
      <c r="W142" s="552"/>
      <c r="X142" s="1174"/>
      <c r="Y142" s="1174"/>
      <c r="Z142" s="1174"/>
      <c r="AA142" s="1174"/>
      <c r="AB142" s="1174"/>
      <c r="AC142" s="1678"/>
      <c r="AD142" s="574"/>
      <c r="AE142" s="574"/>
      <c r="AF142" s="574"/>
      <c r="AG142" s="574"/>
    </row>
    <row s="4362" customFormat="1" customHeight="1" ht="11.25">
      <c r="A143" s="1000"/>
      <c r="B143" s="1682"/>
      <c r="C143" s="1682"/>
      <c r="D143" s="347"/>
      <c r="J143" s="4461"/>
      <c r="K143" s="4461"/>
      <c r="L143" s="4461"/>
      <c r="M143" s="1174"/>
      <c r="N143" s="1682"/>
      <c r="O143" s="1682"/>
      <c r="P143" s="1174"/>
      <c r="Q143" s="1174"/>
      <c r="R143" s="1174"/>
      <c r="S143" s="1174"/>
      <c r="T143" s="1682"/>
      <c r="U143" s="1174"/>
      <c r="V143" s="1174"/>
      <c r="W143" s="552"/>
      <c r="X143" s="1174"/>
      <c r="Y143" s="1174"/>
      <c r="Z143" s="1174"/>
      <c r="AA143" s="1174"/>
      <c r="AB143" s="1174"/>
      <c r="AC143" s="1678"/>
      <c r="AD143" s="574"/>
      <c r="AE143" s="574"/>
      <c r="AF143" s="574"/>
      <c r="AG143" s="574"/>
    </row>
    <row s="4362" customFormat="1" customHeight="1" ht="11.25">
      <c r="A144" s="1000"/>
      <c r="B144" s="1682"/>
      <c r="C144" s="1682"/>
      <c r="D144" s="347"/>
      <c r="J144" s="4461"/>
      <c r="K144" s="4461"/>
      <c r="L144" s="4461"/>
      <c r="M144" s="1174"/>
      <c r="N144" s="1682"/>
      <c r="O144" s="1682"/>
      <c r="P144" s="1174"/>
      <c r="Q144" s="1174"/>
      <c r="R144" s="1174"/>
      <c r="S144" s="1174"/>
      <c r="T144" s="1682"/>
      <c r="U144" s="1174"/>
      <c r="V144" s="1174"/>
      <c r="W144" s="552"/>
      <c r="X144" s="1174"/>
      <c r="Y144" s="1174"/>
      <c r="Z144" s="1174"/>
      <c r="AA144" s="1174"/>
      <c r="AB144" s="1174"/>
      <c r="AC144" s="1678"/>
      <c r="AD144" s="574"/>
      <c r="AE144" s="574"/>
      <c r="AF144" s="574"/>
      <c r="AG144" s="574"/>
    </row>
    <row s="4362" customFormat="1" customHeight="1" ht="11.25">
      <c r="A145" s="1000"/>
      <c r="B145" s="1682"/>
      <c r="C145" s="1682"/>
      <c r="D145" s="347"/>
      <c r="J145" s="4461"/>
      <c r="K145" s="4461"/>
      <c r="L145" s="4461"/>
      <c r="M145" s="1174"/>
      <c r="N145" s="1682"/>
      <c r="O145" s="1682"/>
      <c r="P145" s="1174"/>
      <c r="Q145" s="1174"/>
      <c r="R145" s="1174"/>
      <c r="S145" s="1174"/>
      <c r="T145" s="1682"/>
      <c r="U145" s="1174"/>
      <c r="V145" s="1174"/>
      <c r="W145" s="552"/>
      <c r="X145" s="1174"/>
      <c r="Y145" s="1174"/>
      <c r="Z145" s="1174"/>
      <c r="AA145" s="1174"/>
      <c r="AB145" s="1174"/>
      <c r="AC145" s="1678"/>
      <c r="AD145" s="574"/>
      <c r="AE145" s="574"/>
      <c r="AF145" s="574"/>
      <c r="AG145" s="574"/>
    </row>
    <row s="4362" customFormat="1" customHeight="1" ht="11.25">
      <c r="A146" s="1000"/>
      <c r="B146" s="1682"/>
      <c r="C146" s="1682"/>
      <c r="D146" s="347"/>
      <c r="J146" s="4461"/>
      <c r="K146" s="4461"/>
      <c r="L146" s="4461"/>
      <c r="M146" s="1174"/>
      <c r="N146" s="1682"/>
      <c r="O146" s="1682"/>
      <c r="P146" s="1174"/>
      <c r="Q146" s="1174"/>
      <c r="R146" s="1174"/>
      <c r="S146" s="1174"/>
      <c r="T146" s="1682"/>
      <c r="U146" s="1174"/>
      <c r="V146" s="1174"/>
      <c r="W146" s="552"/>
      <c r="X146" s="1174"/>
      <c r="Y146" s="1174"/>
      <c r="Z146" s="1174"/>
      <c r="AA146" s="1174"/>
      <c r="AB146" s="1174"/>
      <c r="AC146" s="1678"/>
      <c r="AD146" s="574"/>
      <c r="AE146" s="574"/>
      <c r="AF146" s="574"/>
      <c r="AG146" s="574"/>
    </row>
    <row s="4362" customFormat="1" customHeight="1" ht="11.25">
      <c r="A147" s="1000"/>
      <c r="B147" s="1682"/>
      <c r="C147" s="1682"/>
      <c r="D147" s="347"/>
      <c r="J147" s="4461"/>
      <c r="K147" s="4461"/>
      <c r="L147" s="4461"/>
      <c r="M147" s="1174"/>
      <c r="N147" s="1682"/>
      <c r="O147" s="1682"/>
      <c r="P147" s="1174"/>
      <c r="Q147" s="1174"/>
      <c r="R147" s="1174"/>
      <c r="S147" s="1174"/>
      <c r="T147" s="1682"/>
      <c r="U147" s="1174"/>
      <c r="V147" s="1174"/>
      <c r="W147" s="552"/>
      <c r="X147" s="1174"/>
      <c r="Y147" s="1174"/>
      <c r="Z147" s="1174"/>
      <c r="AA147" s="1174"/>
      <c r="AB147" s="1174"/>
      <c r="AC147" s="1678"/>
      <c r="AD147" s="574"/>
      <c r="AE147" s="574"/>
      <c r="AF147" s="574"/>
      <c r="AG147" s="574"/>
    </row>
    <row s="4362" customFormat="1" customHeight="1" ht="11.25">
      <c r="A148" s="1000"/>
      <c r="B148" s="1682"/>
      <c r="C148" s="1682"/>
      <c r="D148" s="347"/>
      <c r="J148" s="4461"/>
      <c r="K148" s="4461"/>
      <c r="L148" s="4461"/>
      <c r="M148" s="1174"/>
      <c r="N148" s="1682"/>
      <c r="O148" s="1682"/>
      <c r="P148" s="1174"/>
      <c r="Q148" s="1174"/>
      <c r="R148" s="1174"/>
      <c r="S148" s="1174"/>
      <c r="T148" s="1682"/>
      <c r="U148" s="1174"/>
      <c r="V148" s="1174"/>
      <c r="W148" s="552"/>
      <c r="X148" s="1174"/>
      <c r="Y148" s="1174"/>
      <c r="Z148" s="1174"/>
      <c r="AA148" s="1174"/>
      <c r="AB148" s="1174"/>
      <c r="AC148" s="1678"/>
      <c r="AD148" s="574"/>
      <c r="AE148" s="574"/>
      <c r="AF148" s="574"/>
      <c r="AG148" s="574"/>
    </row>
    <row s="4362" customFormat="1" customHeight="1" ht="11.25">
      <c r="A149" s="1000"/>
      <c r="B149" s="1682"/>
      <c r="C149" s="1682"/>
      <c r="D149" s="347"/>
      <c r="J149" s="4461"/>
      <c r="K149" s="4461"/>
      <c r="L149" s="4461"/>
      <c r="M149" s="1174"/>
      <c r="N149" s="1682"/>
      <c r="O149" s="1682"/>
      <c r="P149" s="1174"/>
      <c r="Q149" s="1174"/>
      <c r="R149" s="1174"/>
      <c r="S149" s="1174"/>
      <c r="T149" s="1682"/>
      <c r="U149" s="1174"/>
      <c r="V149" s="1174"/>
      <c r="W149" s="552"/>
      <c r="X149" s="1174"/>
      <c r="Y149" s="1174"/>
      <c r="Z149" s="1174"/>
      <c r="AA149" s="1174"/>
      <c r="AB149" s="1174"/>
      <c r="AC149" s="1678"/>
      <c r="AD149" s="574"/>
      <c r="AE149" s="574"/>
      <c r="AF149" s="574"/>
      <c r="AG149" s="574"/>
    </row>
    <row s="4362" customFormat="1" customHeight="1" ht="11.25">
      <c r="A150" s="1000"/>
      <c r="B150" s="1682"/>
      <c r="C150" s="1682"/>
      <c r="D150" s="347"/>
      <c r="J150" s="4461"/>
      <c r="K150" s="4461"/>
      <c r="L150" s="4461"/>
      <c r="M150" s="1174"/>
      <c r="N150" s="1682"/>
      <c r="O150" s="1682"/>
      <c r="P150" s="1174"/>
      <c r="Q150" s="1174"/>
      <c r="R150" s="1174"/>
      <c r="S150" s="1174"/>
      <c r="T150" s="1682"/>
      <c r="U150" s="1174"/>
      <c r="V150" s="1174"/>
      <c r="W150" s="552"/>
      <c r="X150" s="1174"/>
      <c r="Y150" s="1174"/>
      <c r="Z150" s="1174"/>
      <c r="AA150" s="1174"/>
      <c r="AB150" s="1174"/>
      <c r="AC150" s="1678"/>
      <c r="AD150" s="574"/>
      <c r="AE150" s="574"/>
      <c r="AF150" s="574"/>
      <c r="AG150" s="574"/>
    </row>
    <row s="4362" customFormat="1" customHeight="1" ht="11.25">
      <c r="A151" s="1000"/>
      <c r="B151" s="1682"/>
      <c r="C151" s="1682"/>
      <c r="D151" s="347"/>
      <c r="J151" s="4461"/>
      <c r="K151" s="4461"/>
      <c r="L151" s="4461"/>
      <c r="M151" s="1174"/>
      <c r="N151" s="1682"/>
      <c r="O151" s="1682"/>
      <c r="P151" s="1174"/>
      <c r="Q151" s="1174"/>
      <c r="R151" s="1174"/>
      <c r="S151" s="1174"/>
      <c r="T151" s="1682"/>
      <c r="U151" s="1174"/>
      <c r="V151" s="1174"/>
      <c r="W151" s="552"/>
      <c r="X151" s="1174"/>
      <c r="Y151" s="1174"/>
      <c r="Z151" s="1174"/>
      <c r="AA151" s="1174"/>
      <c r="AB151" s="1174"/>
      <c r="AC151" s="1678"/>
      <c r="AD151" s="574"/>
      <c r="AE151" s="574"/>
      <c r="AF151" s="574"/>
      <c r="AG151" s="574"/>
    </row>
    <row s="4362" customFormat="1" customHeight="1" ht="11.25">
      <c r="A152" s="1000"/>
      <c r="B152" s="1682"/>
      <c r="C152" s="1682"/>
      <c r="D152" s="347"/>
      <c r="J152" s="4461"/>
      <c r="K152" s="4461"/>
      <c r="L152" s="4461"/>
      <c r="M152" s="1174"/>
      <c r="N152" s="1682"/>
      <c r="O152" s="1682"/>
      <c r="P152" s="1174"/>
      <c r="Q152" s="1174"/>
      <c r="R152" s="1174"/>
      <c r="S152" s="1174"/>
      <c r="T152" s="1682"/>
      <c r="U152" s="1174"/>
      <c r="V152" s="1174"/>
      <c r="W152" s="552"/>
      <c r="X152" s="1174"/>
      <c r="Y152" s="1174"/>
      <c r="Z152" s="1174"/>
      <c r="AA152" s="1174"/>
      <c r="AB152" s="1174"/>
      <c r="AC152" s="1678"/>
      <c r="AD152" s="574"/>
      <c r="AE152" s="574"/>
      <c r="AF152" s="574"/>
      <c r="AG152" s="574"/>
    </row>
    <row s="4362" customFormat="1" customHeight="1" ht="11.25">
      <c r="A153" s="1000"/>
      <c r="B153" s="1682"/>
      <c r="C153" s="1682"/>
      <c r="D153" s="347"/>
      <c r="J153" s="4461"/>
      <c r="K153" s="4461"/>
      <c r="L153" s="4461"/>
      <c r="M153" s="1174"/>
      <c r="N153" s="1682"/>
      <c r="O153" s="1682"/>
      <c r="P153" s="1174"/>
      <c r="Q153" s="1174"/>
      <c r="R153" s="1174"/>
      <c r="S153" s="1174"/>
      <c r="T153" s="1682"/>
      <c r="U153" s="1174"/>
      <c r="V153" s="1174"/>
      <c r="W153" s="552"/>
      <c r="X153" s="1174"/>
      <c r="Y153" s="1174"/>
      <c r="Z153" s="1174"/>
      <c r="AA153" s="1174"/>
      <c r="AB153" s="1174"/>
      <c r="AC153" s="1678"/>
      <c r="AD153" s="574"/>
      <c r="AE153" s="574"/>
      <c r="AF153" s="574"/>
      <c r="AG153" s="574"/>
    </row>
    <row s="4362" customFormat="1" customHeight="1" ht="11.25">
      <c r="A154" s="1000"/>
      <c r="B154" s="1682"/>
      <c r="C154" s="1682"/>
      <c r="D154" s="347"/>
      <c r="J154" s="4461"/>
      <c r="K154" s="4461"/>
      <c r="L154" s="4461"/>
      <c r="M154" s="1174"/>
      <c r="N154" s="1682"/>
      <c r="O154" s="1682"/>
      <c r="P154" s="1174"/>
      <c r="Q154" s="1174"/>
      <c r="R154" s="1174"/>
      <c r="S154" s="1174"/>
      <c r="T154" s="1682"/>
      <c r="U154" s="1174"/>
      <c r="V154" s="1174"/>
      <c r="W154" s="552"/>
      <c r="X154" s="1174"/>
      <c r="Y154" s="1174"/>
      <c r="Z154" s="1174"/>
      <c r="AA154" s="1174"/>
      <c r="AB154" s="1174"/>
      <c r="AC154" s="1678"/>
      <c r="AD154" s="574"/>
      <c r="AE154" s="574"/>
      <c r="AF154" s="574"/>
      <c r="AG154" s="574"/>
    </row>
    <row s="4362" customFormat="1" customHeight="1" ht="11.25">
      <c r="A155" s="1000"/>
      <c r="B155" s="1682"/>
      <c r="C155" s="1682"/>
      <c r="D155" s="347"/>
      <c r="J155" s="4461"/>
      <c r="K155" s="4461"/>
      <c r="L155" s="4461"/>
      <c r="M155" s="1174"/>
      <c r="N155" s="1682"/>
      <c r="O155" s="1682"/>
      <c r="P155" s="1174"/>
      <c r="Q155" s="1174"/>
      <c r="R155" s="1174"/>
      <c r="S155" s="1174"/>
      <c r="T155" s="1682"/>
      <c r="U155" s="1174"/>
      <c r="V155" s="1174"/>
      <c r="W155" s="552"/>
      <c r="X155" s="1174"/>
      <c r="Y155" s="1174"/>
      <c r="Z155" s="1174"/>
      <c r="AA155" s="1174"/>
      <c r="AB155" s="1174"/>
      <c r="AC155" s="1678"/>
      <c r="AD155" s="574"/>
      <c r="AE155" s="574"/>
      <c r="AF155" s="574"/>
      <c r="AG155" s="574"/>
    </row>
    <row s="4362" customFormat="1" customHeight="1" ht="11.25">
      <c r="A156" s="1000"/>
      <c r="B156" s="1682"/>
      <c r="C156" s="1682"/>
      <c r="D156" s="347"/>
      <c r="J156" s="4461"/>
      <c r="K156" s="4461"/>
      <c r="L156" s="4461"/>
      <c r="M156" s="1174"/>
      <c r="N156" s="1682"/>
      <c r="O156" s="1682"/>
      <c r="P156" s="1174"/>
      <c r="Q156" s="1174"/>
      <c r="R156" s="1174"/>
      <c r="S156" s="1174"/>
      <c r="T156" s="1682"/>
      <c r="U156" s="1174"/>
      <c r="V156" s="1174"/>
      <c r="W156" s="552"/>
      <c r="X156" s="1174"/>
      <c r="Y156" s="1174"/>
      <c r="Z156" s="1174"/>
      <c r="AA156" s="1174"/>
      <c r="AB156" s="1174"/>
      <c r="AC156" s="1678"/>
      <c r="AD156" s="574"/>
      <c r="AE156" s="574"/>
      <c r="AF156" s="574"/>
      <c r="AG156" s="574"/>
    </row>
    <row s="4362" customFormat="1" customHeight="1" ht="11.25">
      <c r="A157" s="1000"/>
      <c r="B157" s="1682"/>
      <c r="C157" s="1682"/>
      <c r="D157" s="347"/>
      <c r="J157" s="4461"/>
      <c r="K157" s="4461"/>
      <c r="L157" s="4461"/>
      <c r="M157" s="1174"/>
      <c r="N157" s="1682"/>
      <c r="O157" s="1682"/>
      <c r="P157" s="1174"/>
      <c r="Q157" s="1174"/>
      <c r="R157" s="1174"/>
      <c r="S157" s="1174"/>
      <c r="T157" s="1682"/>
      <c r="U157" s="1174"/>
      <c r="V157" s="1174"/>
      <c r="W157" s="552"/>
      <c r="X157" s="1174"/>
      <c r="Y157" s="1174"/>
      <c r="Z157" s="1174"/>
      <c r="AA157" s="1174"/>
      <c r="AB157" s="1174"/>
      <c r="AC157" s="1678"/>
      <c r="AD157" s="574"/>
      <c r="AE157" s="574"/>
      <c r="AF157" s="574"/>
      <c r="AG157" s="574"/>
    </row>
    <row s="4362" customFormat="1" customHeight="1" ht="11.25">
      <c r="A158" s="1000"/>
      <c r="B158" s="1682"/>
      <c r="C158" s="1682"/>
      <c r="D158" s="347"/>
      <c r="J158" s="4461"/>
      <c r="K158" s="4461"/>
      <c r="L158" s="4461"/>
      <c r="M158" s="1174"/>
      <c r="N158" s="1682"/>
      <c r="O158" s="1682"/>
      <c r="P158" s="1174"/>
      <c r="Q158" s="1174"/>
      <c r="R158" s="1174"/>
      <c r="S158" s="1174"/>
      <c r="T158" s="1682"/>
      <c r="U158" s="1174"/>
      <c r="V158" s="1174"/>
      <c r="W158" s="552"/>
      <c r="X158" s="1174"/>
      <c r="Y158" s="1174"/>
      <c r="Z158" s="1174"/>
      <c r="AA158" s="1174"/>
      <c r="AB158" s="1174"/>
      <c r="AC158" s="1678"/>
      <c r="AD158" s="574"/>
      <c r="AE158" s="574"/>
      <c r="AF158" s="574"/>
      <c r="AG158" s="574"/>
    </row>
    <row s="4362" customFormat="1" customHeight="1" ht="11.25">
      <c r="A159" s="1000"/>
      <c r="B159" s="1682"/>
      <c r="C159" s="1682"/>
      <c r="D159" s="347"/>
      <c r="J159" s="4461"/>
      <c r="K159" s="4461"/>
      <c r="L159" s="4461"/>
      <c r="M159" s="1174"/>
      <c r="N159" s="1682"/>
      <c r="O159" s="1682"/>
      <c r="P159" s="1174"/>
      <c r="Q159" s="1174"/>
      <c r="R159" s="1174"/>
      <c r="S159" s="1174"/>
      <c r="T159" s="1682"/>
      <c r="U159" s="1174"/>
      <c r="V159" s="1174"/>
      <c r="W159" s="552"/>
      <c r="X159" s="1174"/>
      <c r="Y159" s="1174"/>
      <c r="Z159" s="1174"/>
      <c r="AA159" s="1174"/>
      <c r="AB159" s="1174"/>
      <c r="AC159" s="1678"/>
      <c r="AD159" s="574"/>
      <c r="AE159" s="574"/>
      <c r="AF159" s="574"/>
      <c r="AG159" s="574"/>
    </row>
    <row s="4362" customFormat="1" customHeight="1" ht="11.25">
      <c r="A160" s="1000"/>
      <c r="B160" s="1682"/>
      <c r="C160" s="1682"/>
      <c r="D160" s="347"/>
      <c r="J160" s="4461"/>
      <c r="K160" s="4461"/>
      <c r="L160" s="4461"/>
      <c r="M160" s="1174"/>
      <c r="N160" s="1682"/>
      <c r="O160" s="1682"/>
      <c r="P160" s="1174"/>
      <c r="Q160" s="1174"/>
      <c r="R160" s="1174"/>
      <c r="S160" s="1174"/>
      <c r="T160" s="1682"/>
      <c r="U160" s="1174"/>
      <c r="V160" s="1174"/>
      <c r="W160" s="552"/>
      <c r="X160" s="1174"/>
      <c r="Y160" s="1174"/>
      <c r="Z160" s="1174"/>
      <c r="AA160" s="1174"/>
      <c r="AB160" s="1174"/>
      <c r="AC160" s="1678"/>
      <c r="AD160" s="574"/>
      <c r="AE160" s="574"/>
      <c r="AF160" s="574"/>
      <c r="AG160" s="574"/>
    </row>
    <row s="4362" customFormat="1" customHeight="1" ht="11.25">
      <c r="A161" s="1000"/>
      <c r="B161" s="1682"/>
      <c r="C161" s="1682"/>
      <c r="D161" s="347"/>
      <c r="J161" s="4461"/>
      <c r="K161" s="4461"/>
      <c r="L161" s="4461"/>
      <c r="M161" s="1174"/>
      <c r="N161" s="1682"/>
      <c r="O161" s="1682"/>
      <c r="P161" s="1174"/>
      <c r="Q161" s="1174"/>
      <c r="R161" s="1174"/>
      <c r="S161" s="1174"/>
      <c r="T161" s="1682"/>
      <c r="U161" s="1174"/>
      <c r="V161" s="1174"/>
      <c r="W161" s="552"/>
      <c r="X161" s="1174"/>
      <c r="Y161" s="1174"/>
      <c r="Z161" s="1174"/>
      <c r="AA161" s="1174"/>
      <c r="AB161" s="1174"/>
      <c r="AC161" s="1678"/>
      <c r="AD161" s="574"/>
      <c r="AE161" s="574"/>
      <c r="AF161" s="574"/>
      <c r="AG161" s="574"/>
    </row>
    <row s="4362" customFormat="1" customHeight="1" ht="11.25">
      <c r="A162" s="1000"/>
      <c r="B162" s="1682"/>
      <c r="C162" s="1682"/>
      <c r="D162" s="347"/>
      <c r="J162" s="4461"/>
      <c r="K162" s="4461"/>
      <c r="L162" s="4461"/>
      <c r="M162" s="1174"/>
      <c r="N162" s="1682"/>
      <c r="O162" s="1682"/>
      <c r="P162" s="1174"/>
      <c r="Q162" s="1174"/>
      <c r="R162" s="1174"/>
      <c r="S162" s="1174"/>
      <c r="T162" s="1682"/>
      <c r="U162" s="1174"/>
      <c r="V162" s="1174"/>
      <c r="W162" s="552"/>
      <c r="X162" s="1174"/>
      <c r="Y162" s="1174"/>
      <c r="Z162" s="1174"/>
      <c r="AA162" s="1174"/>
      <c r="AB162" s="1174"/>
      <c r="AC162" s="1678"/>
      <c r="AD162" s="574"/>
      <c r="AE162" s="574"/>
      <c r="AF162" s="574"/>
      <c r="AG162" s="574"/>
    </row>
    <row s="4362" customFormat="1" customHeight="1" ht="11.25">
      <c r="A163" s="1000"/>
      <c r="B163" s="1682"/>
      <c r="C163" s="1682"/>
      <c r="D163" s="347"/>
      <c r="J163" s="4461"/>
      <c r="K163" s="4461"/>
      <c r="L163" s="4461"/>
      <c r="M163" s="1174"/>
      <c r="N163" s="1682"/>
      <c r="O163" s="1682"/>
      <c r="P163" s="1174"/>
      <c r="Q163" s="1174"/>
      <c r="R163" s="1174"/>
      <c r="S163" s="1174"/>
      <c r="T163" s="1682"/>
      <c r="U163" s="1174"/>
      <c r="V163" s="1174"/>
      <c r="W163" s="552"/>
      <c r="X163" s="1174"/>
      <c r="Y163" s="1174"/>
      <c r="Z163" s="1174"/>
      <c r="AA163" s="1174"/>
      <c r="AB163" s="1174"/>
      <c r="AC163" s="1678"/>
      <c r="AD163" s="574"/>
      <c r="AE163" s="574"/>
      <c r="AF163" s="574"/>
      <c r="AG163" s="574"/>
    </row>
    <row s="4362" customFormat="1" customHeight="1" ht="11.25">
      <c r="A164" s="1000"/>
      <c r="B164" s="1682"/>
      <c r="C164" s="1682"/>
      <c r="D164" s="347"/>
      <c r="J164" s="4461"/>
      <c r="K164" s="4461"/>
      <c r="L164" s="4461"/>
      <c r="M164" s="1174"/>
      <c r="N164" s="1682"/>
      <c r="O164" s="1682"/>
      <c r="P164" s="1174"/>
      <c r="Q164" s="1174"/>
      <c r="R164" s="1174"/>
      <c r="S164" s="1174"/>
      <c r="T164" s="1682"/>
      <c r="U164" s="1174"/>
      <c r="V164" s="1174"/>
      <c r="W164" s="552"/>
      <c r="X164" s="1174"/>
      <c r="Y164" s="1174"/>
      <c r="Z164" s="1174"/>
      <c r="AA164" s="1174"/>
      <c r="AB164" s="1174"/>
      <c r="AC164" s="1678"/>
      <c r="AD164" s="574"/>
      <c r="AE164" s="574"/>
      <c r="AF164" s="574"/>
      <c r="AG164" s="574"/>
    </row>
    <row s="4362" customFormat="1" customHeight="1" ht="11.25">
      <c r="A165" s="1000"/>
      <c r="B165" s="1682"/>
      <c r="C165" s="1682"/>
      <c r="D165" s="347"/>
      <c r="J165" s="4461"/>
      <c r="K165" s="4461"/>
      <c r="L165" s="4461"/>
      <c r="M165" s="1174"/>
      <c r="N165" s="1682"/>
      <c r="O165" s="1682"/>
      <c r="P165" s="1174"/>
      <c r="Q165" s="1174"/>
      <c r="R165" s="1174"/>
      <c r="S165" s="1174"/>
      <c r="T165" s="1682"/>
      <c r="U165" s="1174"/>
      <c r="V165" s="1174"/>
      <c r="W165" s="552"/>
      <c r="X165" s="1174"/>
      <c r="Y165" s="1174"/>
      <c r="Z165" s="1174"/>
      <c r="AA165" s="1174"/>
      <c r="AB165" s="1174"/>
      <c r="AC165" s="1678"/>
      <c r="AD165" s="574"/>
      <c r="AE165" s="574"/>
      <c r="AF165" s="574"/>
      <c r="AG165" s="574"/>
    </row>
    <row s="4362" customFormat="1" customHeight="1" ht="11.25">
      <c r="A166" s="1000"/>
      <c r="B166" s="1682"/>
      <c r="C166" s="1682"/>
      <c r="D166" s="347"/>
      <c r="J166" s="4461"/>
      <c r="K166" s="4461"/>
      <c r="L166" s="4461"/>
      <c r="M166" s="1174"/>
      <c r="N166" s="1682"/>
      <c r="O166" s="1682"/>
      <c r="P166" s="1174"/>
      <c r="Q166" s="1174"/>
      <c r="R166" s="1174"/>
      <c r="S166" s="1174"/>
      <c r="T166" s="1682"/>
      <c r="U166" s="1174"/>
      <c r="V166" s="1174"/>
      <c r="W166" s="552"/>
      <c r="X166" s="1174"/>
      <c r="Y166" s="1174"/>
      <c r="Z166" s="1174"/>
      <c r="AA166" s="1174"/>
      <c r="AB166" s="1174"/>
      <c r="AC166" s="1678"/>
      <c r="AD166" s="574"/>
      <c r="AE166" s="574"/>
      <c r="AF166" s="574"/>
      <c r="AG166" s="574"/>
    </row>
    <row s="4362" customFormat="1" customHeight="1" ht="11.25">
      <c r="A167" s="1000"/>
      <c r="B167" s="1682"/>
      <c r="C167" s="1682"/>
      <c r="D167" s="347"/>
      <c r="J167" s="4461"/>
      <c r="K167" s="4461"/>
      <c r="L167" s="4461"/>
      <c r="M167" s="1174"/>
      <c r="N167" s="1682"/>
      <c r="O167" s="1682"/>
      <c r="P167" s="1174"/>
      <c r="Q167" s="1174"/>
      <c r="R167" s="1174"/>
      <c r="S167" s="1174"/>
      <c r="T167" s="1682"/>
      <c r="U167" s="1174"/>
      <c r="V167" s="1174"/>
      <c r="W167" s="552"/>
      <c r="X167" s="1174"/>
      <c r="Y167" s="1174"/>
      <c r="Z167" s="1174"/>
      <c r="AA167" s="1174"/>
      <c r="AB167" s="1174"/>
      <c r="AC167" s="1678"/>
      <c r="AD167" s="574"/>
      <c r="AE167" s="574"/>
      <c r="AF167" s="574"/>
      <c r="AG167" s="574"/>
    </row>
    <row s="4362" customFormat="1" customHeight="1" ht="11.25">
      <c r="A168" s="1000"/>
      <c r="B168" s="1682"/>
      <c r="C168" s="1682"/>
      <c r="D168" s="347"/>
      <c r="J168" s="4461"/>
      <c r="K168" s="4461"/>
      <c r="L168" s="4461"/>
      <c r="M168" s="1174"/>
      <c r="N168" s="1682"/>
      <c r="O168" s="1682"/>
      <c r="P168" s="1174"/>
      <c r="Q168" s="1174"/>
      <c r="R168" s="1174"/>
      <c r="S168" s="1174"/>
      <c r="T168" s="1682"/>
      <c r="U168" s="1174"/>
      <c r="V168" s="1174"/>
      <c r="W168" s="552"/>
      <c r="X168" s="1174"/>
      <c r="Y168" s="1174"/>
      <c r="Z168" s="1174"/>
      <c r="AA168" s="1174"/>
      <c r="AB168" s="1174"/>
      <c r="AC168" s="1678"/>
      <c r="AD168" s="574"/>
      <c r="AE168" s="574"/>
      <c r="AF168" s="574"/>
      <c r="AG168" s="574"/>
    </row>
    <row s="4362" customFormat="1" customHeight="1" ht="11.25">
      <c r="A169" s="1000"/>
      <c r="B169" s="1682"/>
      <c r="C169" s="1682"/>
      <c r="D169" s="347"/>
      <c r="J169" s="4461"/>
      <c r="K169" s="4461"/>
      <c r="L169" s="4461"/>
      <c r="M169" s="1174"/>
      <c r="N169" s="1682"/>
      <c r="O169" s="1682"/>
      <c r="P169" s="1174"/>
      <c r="Q169" s="1174"/>
      <c r="R169" s="1174"/>
      <c r="S169" s="1174"/>
      <c r="T169" s="1682"/>
      <c r="U169" s="1174"/>
      <c r="V169" s="1174"/>
      <c r="W169" s="552"/>
      <c r="X169" s="1174"/>
      <c r="Y169" s="1174"/>
      <c r="Z169" s="1174"/>
      <c r="AA169" s="1174"/>
      <c r="AB169" s="1174"/>
      <c r="AC169" s="1678"/>
      <c r="AD169" s="574"/>
      <c r="AE169" s="574"/>
      <c r="AF169" s="574"/>
      <c r="AG169" s="574"/>
    </row>
    <row s="4362" customFormat="1" customHeight="1" ht="11.25">
      <c r="A170" s="1000"/>
      <c r="B170" s="1682"/>
      <c r="C170" s="1682"/>
      <c r="D170" s="347"/>
      <c r="J170" s="4461"/>
      <c r="K170" s="4461"/>
      <c r="L170" s="4461"/>
      <c r="M170" s="1174"/>
      <c r="N170" s="1682"/>
      <c r="O170" s="1682"/>
      <c r="P170" s="1174"/>
      <c r="Q170" s="1174"/>
      <c r="R170" s="1174"/>
      <c r="S170" s="1174"/>
      <c r="T170" s="1682"/>
      <c r="U170" s="1174"/>
      <c r="V170" s="1174"/>
      <c r="W170" s="552"/>
      <c r="X170" s="1174"/>
      <c r="Y170" s="1174"/>
      <c r="Z170" s="1174"/>
      <c r="AA170" s="1174"/>
      <c r="AB170" s="1174"/>
      <c r="AC170" s="1678"/>
      <c r="AD170" s="574"/>
      <c r="AE170" s="574"/>
      <c r="AF170" s="574"/>
      <c r="AG170" s="574"/>
    </row>
    <row s="4362" customFormat="1" customHeight="1" ht="11.25">
      <c r="A171" s="1000"/>
      <c r="B171" s="1682"/>
      <c r="C171" s="1682"/>
      <c r="D171" s="347"/>
      <c r="J171" s="4461"/>
      <c r="K171" s="4461"/>
      <c r="L171" s="4461"/>
      <c r="M171" s="1174"/>
      <c r="N171" s="1682"/>
      <c r="O171" s="1682"/>
      <c r="P171" s="1174"/>
      <c r="Q171" s="1174"/>
      <c r="R171" s="1174"/>
      <c r="S171" s="1174"/>
      <c r="T171" s="1682"/>
      <c r="U171" s="1174"/>
      <c r="V171" s="1174"/>
      <c r="W171" s="552"/>
      <c r="X171" s="1174"/>
      <c r="Y171" s="1174"/>
      <c r="Z171" s="1174"/>
      <c r="AA171" s="1174"/>
      <c r="AB171" s="1174"/>
      <c r="AC171" s="1678"/>
      <c r="AD171" s="574"/>
      <c r="AE171" s="574"/>
      <c r="AF171" s="574"/>
      <c r="AG171" s="574"/>
    </row>
    <row s="4362" customFormat="1" customHeight="1" ht="11.25">
      <c r="A172" s="1000"/>
      <c r="B172" s="1682"/>
      <c r="C172" s="1682"/>
      <c r="D172" s="347"/>
      <c r="J172" s="4461"/>
      <c r="K172" s="4461"/>
      <c r="L172" s="4461"/>
      <c r="M172" s="1174"/>
      <c r="N172" s="1682"/>
      <c r="O172" s="1682"/>
      <c r="P172" s="1174"/>
      <c r="Q172" s="1174"/>
      <c r="R172" s="1174"/>
      <c r="S172" s="1174"/>
      <c r="T172" s="1682"/>
      <c r="U172" s="1174"/>
      <c r="V172" s="1174"/>
      <c r="W172" s="552"/>
      <c r="X172" s="1174"/>
      <c r="Y172" s="1174"/>
      <c r="Z172" s="1174"/>
      <c r="AA172" s="1174"/>
      <c r="AB172" s="1174"/>
      <c r="AC172" s="1678"/>
      <c r="AD172" s="574"/>
      <c r="AE172" s="574"/>
      <c r="AF172" s="574"/>
      <c r="AG172" s="574"/>
    </row>
    <row s="4362" customFormat="1" customHeight="1" ht="11.25">
      <c r="A173" s="1000"/>
      <c r="B173" s="1682"/>
      <c r="C173" s="1682"/>
      <c r="D173" s="347"/>
      <c r="J173" s="4461"/>
      <c r="K173" s="4461"/>
      <c r="L173" s="4461"/>
      <c r="M173" s="1174"/>
      <c r="N173" s="1682"/>
      <c r="O173" s="1682"/>
      <c r="P173" s="1174"/>
      <c r="Q173" s="1174"/>
      <c r="R173" s="1174"/>
      <c r="S173" s="1174"/>
      <c r="T173" s="1682"/>
      <c r="U173" s="1174"/>
      <c r="V173" s="1174"/>
      <c r="W173" s="552"/>
      <c r="X173" s="1174"/>
      <c r="Y173" s="1174"/>
      <c r="Z173" s="1174"/>
      <c r="AA173" s="1174"/>
      <c r="AB173" s="1174"/>
      <c r="AC173" s="1678"/>
      <c r="AD173" s="574"/>
      <c r="AE173" s="574"/>
      <c r="AF173" s="574"/>
      <c r="AG173" s="574"/>
    </row>
    <row s="4362" customFormat="1" customHeight="1" ht="11.25">
      <c r="A174" s="1000"/>
      <c r="B174" s="1682"/>
      <c r="C174" s="1682"/>
      <c r="D174" s="347"/>
      <c r="J174" s="4461"/>
      <c r="K174" s="4461"/>
      <c r="L174" s="4461"/>
      <c r="M174" s="1174"/>
      <c r="N174" s="1682"/>
      <c r="O174" s="1682"/>
      <c r="P174" s="1174"/>
      <c r="Q174" s="1174"/>
      <c r="R174" s="1174"/>
      <c r="S174" s="1174"/>
      <c r="T174" s="1682"/>
      <c r="U174" s="1174"/>
      <c r="V174" s="1174"/>
      <c r="W174" s="552"/>
      <c r="X174" s="1174"/>
      <c r="Y174" s="1174"/>
      <c r="Z174" s="1174"/>
      <c r="AA174" s="1174"/>
      <c r="AB174" s="1174"/>
      <c r="AC174" s="1678"/>
      <c r="AD174" s="574"/>
      <c r="AE174" s="574"/>
      <c r="AF174" s="574"/>
      <c r="AG174" s="574"/>
    </row>
    <row s="4362" customFormat="1" customHeight="1" ht="11.25">
      <c r="A175" s="1000"/>
      <c r="B175" s="1682"/>
      <c r="C175" s="1682"/>
      <c r="D175" s="347"/>
      <c r="J175" s="4461"/>
      <c r="K175" s="4461"/>
      <c r="L175" s="4461"/>
      <c r="M175" s="1174"/>
      <c r="N175" s="1682"/>
      <c r="O175" s="1682"/>
      <c r="P175" s="1174"/>
      <c r="Q175" s="1174"/>
      <c r="R175" s="1174"/>
      <c r="S175" s="1174"/>
      <c r="T175" s="1682"/>
      <c r="U175" s="1174"/>
      <c r="V175" s="1174"/>
      <c r="W175" s="552"/>
      <c r="X175" s="1174"/>
      <c r="Y175" s="1174"/>
      <c r="Z175" s="1174"/>
      <c r="AA175" s="1174"/>
      <c r="AB175" s="1174"/>
      <c r="AC175" s="1678"/>
      <c r="AD175" s="574"/>
      <c r="AE175" s="574"/>
      <c r="AF175" s="574"/>
      <c r="AG175" s="574"/>
    </row>
    <row s="4362" customFormat="1" customHeight="1" ht="11.25">
      <c r="A176" s="1000"/>
      <c r="B176" s="1682"/>
      <c r="C176" s="1682"/>
      <c r="D176" s="347"/>
      <c r="J176" s="4461"/>
      <c r="K176" s="4461"/>
      <c r="L176" s="4461"/>
      <c r="M176" s="1174"/>
      <c r="N176" s="1682"/>
      <c r="O176" s="1682"/>
      <c r="P176" s="1174"/>
      <c r="Q176" s="1174"/>
      <c r="R176" s="1174"/>
      <c r="S176" s="1174"/>
      <c r="T176" s="1682"/>
      <c r="U176" s="1174"/>
      <c r="V176" s="1174"/>
      <c r="W176" s="552"/>
      <c r="X176" s="1174"/>
      <c r="Y176" s="1174"/>
      <c r="Z176" s="1174"/>
      <c r="AA176" s="1174"/>
      <c r="AB176" s="1174"/>
      <c r="AC176" s="1678"/>
      <c r="AD176" s="574"/>
      <c r="AE176" s="574"/>
      <c r="AF176" s="574"/>
      <c r="AG176" s="574"/>
    </row>
    <row s="4362" customFormat="1" customHeight="1" ht="11.25">
      <c r="A177" s="1000"/>
      <c r="B177" s="1682"/>
      <c r="C177" s="1682"/>
      <c r="D177" s="347"/>
      <c r="J177" s="4461"/>
      <c r="K177" s="4461"/>
      <c r="L177" s="4461"/>
      <c r="M177" s="1174"/>
      <c r="N177" s="1682"/>
      <c r="O177" s="1682"/>
      <c r="P177" s="1174"/>
      <c r="Q177" s="1174"/>
      <c r="R177" s="1174"/>
      <c r="S177" s="1174"/>
      <c r="T177" s="1682"/>
      <c r="U177" s="1174"/>
      <c r="V177" s="1174"/>
      <c r="W177" s="552"/>
      <c r="X177" s="1174"/>
      <c r="Y177" s="1174"/>
      <c r="Z177" s="1174"/>
      <c r="AA177" s="1174"/>
      <c r="AB177" s="1174"/>
      <c r="AC177" s="1678"/>
      <c r="AD177" s="574"/>
      <c r="AE177" s="574"/>
      <c r="AF177" s="574"/>
      <c r="AG177" s="574"/>
    </row>
    <row s="4362" customFormat="1" customHeight="1" ht="11.25">
      <c r="A178" s="1000"/>
      <c r="B178" s="1682"/>
      <c r="C178" s="1682"/>
      <c r="D178" s="347"/>
      <c r="J178" s="4461"/>
      <c r="K178" s="4461"/>
      <c r="L178" s="4461"/>
      <c r="M178" s="1174"/>
      <c r="N178" s="1682"/>
      <c r="O178" s="1682"/>
      <c r="P178" s="1174"/>
      <c r="Q178" s="1174"/>
      <c r="R178" s="1174"/>
      <c r="S178" s="1174"/>
      <c r="T178" s="1682"/>
      <c r="U178" s="1174"/>
      <c r="V178" s="1174"/>
      <c r="W178" s="552"/>
      <c r="X178" s="1174"/>
      <c r="Y178" s="1174"/>
      <c r="Z178" s="1174"/>
      <c r="AA178" s="1174"/>
      <c r="AB178" s="1174"/>
      <c r="AC178" s="1678"/>
      <c r="AD178" s="574"/>
      <c r="AE178" s="574"/>
      <c r="AF178" s="574"/>
      <c r="AG178" s="574"/>
    </row>
    <row s="4362" customFormat="1" customHeight="1" ht="11.25">
      <c r="A179" s="1000"/>
      <c r="B179" s="1682"/>
      <c r="C179" s="1682"/>
      <c r="D179" s="347"/>
      <c r="J179" s="4461"/>
      <c r="K179" s="4461"/>
      <c r="L179" s="4461"/>
      <c r="M179" s="1174"/>
      <c r="N179" s="1682"/>
      <c r="O179" s="1682"/>
      <c r="P179" s="1174"/>
      <c r="Q179" s="1174"/>
      <c r="R179" s="1174"/>
      <c r="S179" s="1174"/>
      <c r="T179" s="1682"/>
      <c r="U179" s="1174"/>
      <c r="V179" s="1174"/>
      <c r="W179" s="552"/>
      <c r="X179" s="1174"/>
      <c r="Y179" s="1174"/>
      <c r="Z179" s="1174"/>
      <c r="AA179" s="1174"/>
      <c r="AB179" s="1174"/>
      <c r="AC179" s="1678"/>
      <c r="AD179" s="574"/>
      <c r="AE179" s="574"/>
      <c r="AF179" s="574"/>
      <c r="AG179" s="574"/>
    </row>
    <row s="4362" customFormat="1" customHeight="1" ht="11.25">
      <c r="A180" s="1000"/>
      <c r="B180" s="1682"/>
      <c r="C180" s="1682"/>
      <c r="D180" s="347"/>
      <c r="J180" s="4461"/>
      <c r="K180" s="4461"/>
      <c r="L180" s="4461"/>
      <c r="M180" s="1174"/>
      <c r="N180" s="1682"/>
      <c r="O180" s="1682"/>
      <c r="P180" s="1174"/>
      <c r="Q180" s="1174"/>
      <c r="R180" s="1174"/>
      <c r="S180" s="1174"/>
      <c r="T180" s="1682"/>
      <c r="U180" s="1174"/>
      <c r="V180" s="1174"/>
      <c r="W180" s="552"/>
      <c r="X180" s="1174"/>
      <c r="Y180" s="1174"/>
      <c r="Z180" s="1174"/>
      <c r="AA180" s="1174"/>
      <c r="AB180" s="1174"/>
      <c r="AC180" s="1678"/>
      <c r="AD180" s="574"/>
      <c r="AE180" s="574"/>
      <c r="AF180" s="574"/>
      <c r="AG180" s="574"/>
    </row>
    <row s="4362" customFormat="1" customHeight="1" ht="11.25">
      <c r="A181" s="1000"/>
      <c r="B181" s="1682"/>
      <c r="C181" s="1682"/>
      <c r="D181" s="347"/>
      <c r="J181" s="4461"/>
      <c r="K181" s="4461"/>
      <c r="L181" s="4461"/>
      <c r="M181" s="1174"/>
      <c r="N181" s="1682"/>
      <c r="O181" s="1682"/>
      <c r="P181" s="1174"/>
      <c r="Q181" s="1174"/>
      <c r="R181" s="1174"/>
      <c r="S181" s="1174"/>
      <c r="T181" s="1682"/>
      <c r="U181" s="1174"/>
      <c r="V181" s="1174"/>
      <c r="W181" s="552"/>
      <c r="X181" s="1174"/>
      <c r="Y181" s="1174"/>
      <c r="Z181" s="1174"/>
      <c r="AA181" s="1174"/>
      <c r="AB181" s="1174"/>
      <c r="AC181" s="1678"/>
      <c r="AD181" s="574"/>
      <c r="AE181" s="574"/>
      <c r="AF181" s="574"/>
      <c r="AG181" s="574"/>
    </row>
    <row s="4362" customFormat="1" customHeight="1" ht="11.25">
      <c r="A182" s="1000"/>
      <c r="B182" s="1682"/>
      <c r="C182" s="1682"/>
      <c r="D182" s="347"/>
      <c r="J182" s="4461"/>
      <c r="K182" s="4461"/>
      <c r="L182" s="4461"/>
      <c r="M182" s="1174"/>
      <c r="N182" s="1682"/>
      <c r="O182" s="1682"/>
      <c r="P182" s="1174"/>
      <c r="Q182" s="1174"/>
      <c r="R182" s="1174"/>
      <c r="S182" s="1174"/>
      <c r="T182" s="1682"/>
      <c r="U182" s="1174"/>
      <c r="V182" s="1174"/>
      <c r="W182" s="552"/>
      <c r="X182" s="1174"/>
      <c r="Y182" s="1174"/>
      <c r="Z182" s="1174"/>
      <c r="AA182" s="1174"/>
      <c r="AB182" s="1174"/>
      <c r="AC182" s="1678"/>
      <c r="AD182" s="574"/>
      <c r="AE182" s="574"/>
      <c r="AF182" s="574"/>
      <c r="AG182" s="574"/>
    </row>
    <row s="4362" customFormat="1" customHeight="1" ht="11.25">
      <c r="A183" s="1000"/>
      <c r="B183" s="1682"/>
      <c r="C183" s="1682"/>
      <c r="D183" s="347"/>
      <c r="J183" s="4461"/>
      <c r="K183" s="4461"/>
      <c r="L183" s="4461"/>
      <c r="M183" s="1174"/>
      <c r="N183" s="1682"/>
      <c r="O183" s="1682"/>
      <c r="P183" s="1174"/>
      <c r="Q183" s="1174"/>
      <c r="R183" s="1174"/>
      <c r="S183" s="1174"/>
      <c r="T183" s="1682"/>
      <c r="U183" s="1174"/>
      <c r="V183" s="1174"/>
      <c r="W183" s="552"/>
      <c r="X183" s="1174"/>
      <c r="Y183" s="1174"/>
      <c r="Z183" s="1174"/>
      <c r="AA183" s="1174"/>
      <c r="AB183" s="1174"/>
      <c r="AC183" s="1678"/>
      <c r="AD183" s="574"/>
      <c r="AE183" s="574"/>
      <c r="AF183" s="574"/>
      <c r="AG183" s="574"/>
    </row>
    <row s="4362" customFormat="1" customHeight="1" ht="11.25">
      <c r="A184" s="1000"/>
      <c r="B184" s="1682"/>
      <c r="C184" s="1682"/>
      <c r="D184" s="347"/>
      <c r="J184" s="4461"/>
      <c r="K184" s="4461"/>
      <c r="L184" s="4461"/>
      <c r="M184" s="1174"/>
      <c r="N184" s="1682"/>
      <c r="O184" s="1682"/>
      <c r="P184" s="1174"/>
      <c r="Q184" s="1174"/>
      <c r="R184" s="1174"/>
      <c r="S184" s="1174"/>
      <c r="T184" s="1682"/>
      <c r="U184" s="1174"/>
      <c r="V184" s="1174"/>
      <c r="W184" s="552"/>
      <c r="X184" s="1174"/>
      <c r="Y184" s="1174"/>
      <c r="Z184" s="1174"/>
      <c r="AA184" s="1174"/>
      <c r="AB184" s="1174"/>
      <c r="AC184" s="1678"/>
      <c r="AD184" s="574"/>
      <c r="AE184" s="574"/>
      <c r="AF184" s="574"/>
      <c r="AG184" s="574"/>
    </row>
    <row s="4362" customFormat="1" customHeight="1" ht="11.25">
      <c r="A185" s="1000"/>
      <c r="B185" s="1682"/>
      <c r="C185" s="1682"/>
      <c r="D185" s="347"/>
      <c r="J185" s="4461"/>
      <c r="K185" s="4461"/>
      <c r="L185" s="4461"/>
      <c r="M185" s="1174"/>
      <c r="N185" s="1682"/>
      <c r="O185" s="1682"/>
      <c r="P185" s="1174"/>
      <c r="Q185" s="1174"/>
      <c r="R185" s="1174"/>
      <c r="S185" s="1174"/>
      <c r="T185" s="1682"/>
      <c r="U185" s="1174"/>
      <c r="V185" s="1174"/>
      <c r="W185" s="552"/>
      <c r="X185" s="1174"/>
      <c r="Y185" s="1174"/>
      <c r="Z185" s="1174"/>
      <c r="AA185" s="1174"/>
      <c r="AB185" s="1174"/>
      <c r="AC185" s="1678"/>
      <c r="AD185" s="574"/>
      <c r="AE185" s="574"/>
      <c r="AF185" s="574"/>
      <c r="AG185" s="574"/>
    </row>
    <row s="4362" customFormat="1" customHeight="1" ht="11.25">
      <c r="A186" s="1000"/>
      <c r="B186" s="1682"/>
      <c r="C186" s="1682"/>
      <c r="D186" s="347"/>
      <c r="J186" s="4461"/>
      <c r="K186" s="4461"/>
      <c r="L186" s="4461"/>
      <c r="M186" s="1174"/>
      <c r="N186" s="1682"/>
      <c r="O186" s="1682"/>
      <c r="P186" s="1174"/>
      <c r="Q186" s="1174"/>
      <c r="R186" s="1174"/>
      <c r="S186" s="1174"/>
      <c r="T186" s="1682"/>
      <c r="U186" s="1174"/>
      <c r="V186" s="1174"/>
      <c r="W186" s="552"/>
      <c r="X186" s="1174"/>
      <c r="Y186" s="1174"/>
      <c r="Z186" s="1174"/>
      <c r="AA186" s="1174"/>
      <c r="AB186" s="1174"/>
      <c r="AC186" s="1678"/>
      <c r="AD186" s="574"/>
      <c r="AE186" s="574"/>
      <c r="AF186" s="574"/>
      <c r="AG186" s="574"/>
    </row>
    <row s="4362" customFormat="1" customHeight="1" ht="11.25">
      <c r="A187" s="1000"/>
      <c r="B187" s="1682"/>
      <c r="C187" s="1682"/>
      <c r="D187" s="347"/>
      <c r="J187" s="4461"/>
      <c r="K187" s="4461"/>
      <c r="L187" s="4461"/>
      <c r="M187" s="1174"/>
      <c r="N187" s="1682"/>
      <c r="O187" s="1682"/>
      <c r="P187" s="1174"/>
      <c r="Q187" s="1174"/>
      <c r="R187" s="1174"/>
      <c r="S187" s="1174"/>
      <c r="T187" s="1682"/>
      <c r="U187" s="1174"/>
      <c r="V187" s="1174"/>
      <c r="W187" s="552"/>
      <c r="X187" s="1174"/>
      <c r="Y187" s="1174"/>
      <c r="Z187" s="1174"/>
      <c r="AA187" s="1174"/>
      <c r="AB187" s="1174"/>
      <c r="AC187" s="1678"/>
      <c r="AD187" s="574"/>
      <c r="AE187" s="574"/>
      <c r="AF187" s="574"/>
      <c r="AG187" s="574"/>
    </row>
    <row s="4362" customFormat="1" customHeight="1" ht="11.25">
      <c r="A188" s="1000"/>
      <c r="B188" s="1682"/>
      <c r="C188" s="1682"/>
      <c r="D188" s="347"/>
      <c r="J188" s="4461"/>
      <c r="K188" s="4461"/>
      <c r="L188" s="4461"/>
      <c r="M188" s="1174"/>
      <c r="N188" s="1682"/>
      <c r="O188" s="1682"/>
      <c r="P188" s="1174"/>
      <c r="Q188" s="1174"/>
      <c r="R188" s="1174"/>
      <c r="S188" s="1174"/>
      <c r="T188" s="1682"/>
      <c r="U188" s="1174"/>
      <c r="V188" s="1174"/>
      <c r="W188" s="552"/>
      <c r="X188" s="1174"/>
      <c r="Y188" s="1174"/>
      <c r="Z188" s="1174"/>
      <c r="AA188" s="1174"/>
      <c r="AB188" s="1174"/>
      <c r="AC188" s="1678"/>
      <c r="AD188" s="574"/>
      <c r="AE188" s="574"/>
      <c r="AF188" s="574"/>
      <c r="AG188" s="574"/>
    </row>
    <row s="4362" customFormat="1" customHeight="1" ht="11.25">
      <c r="A189" s="1000"/>
      <c r="B189" s="1682"/>
      <c r="C189" s="1682"/>
      <c r="D189" s="347"/>
      <c r="J189" s="4461"/>
      <c r="K189" s="4461"/>
      <c r="L189" s="4461"/>
      <c r="M189" s="1174"/>
      <c r="N189" s="1682"/>
      <c r="O189" s="1682"/>
      <c r="P189" s="1174"/>
      <c r="Q189" s="1174"/>
      <c r="R189" s="1174"/>
      <c r="S189" s="1174"/>
      <c r="T189" s="1682"/>
      <c r="U189" s="1174"/>
      <c r="V189" s="1174"/>
      <c r="W189" s="552"/>
      <c r="X189" s="1174"/>
      <c r="Y189" s="1174"/>
      <c r="Z189" s="1174"/>
      <c r="AA189" s="1174"/>
      <c r="AB189" s="1174"/>
      <c r="AC189" s="1678"/>
      <c r="AD189" s="574"/>
      <c r="AE189" s="574"/>
      <c r="AF189" s="574"/>
      <c r="AG189" s="574"/>
    </row>
    <row s="4362" customFormat="1" customHeight="1" ht="11.25">
      <c r="A190" s="1000"/>
      <c r="B190" s="1682"/>
      <c r="C190" s="1682"/>
      <c r="D190" s="347"/>
      <c r="J190" s="4461"/>
      <c r="K190" s="4461"/>
      <c r="L190" s="4461"/>
      <c r="M190" s="1174"/>
      <c r="N190" s="1682"/>
      <c r="O190" s="1682"/>
      <c r="P190" s="1174"/>
      <c r="Q190" s="1174"/>
      <c r="R190" s="1174"/>
      <c r="S190" s="1174"/>
      <c r="T190" s="1682"/>
      <c r="U190" s="1174"/>
      <c r="V190" s="1174"/>
      <c r="W190" s="552"/>
      <c r="X190" s="1174"/>
      <c r="Y190" s="1174"/>
      <c r="Z190" s="1174"/>
      <c r="AA190" s="1174"/>
      <c r="AB190" s="1174"/>
      <c r="AC190" s="1678"/>
      <c r="AD190" s="574"/>
      <c r="AE190" s="574"/>
      <c r="AF190" s="574"/>
      <c r="AG190" s="574"/>
    </row>
    <row s="4362" customFormat="1" customHeight="1" ht="11.25">
      <c r="A191" s="1000"/>
      <c r="B191" s="1682"/>
      <c r="C191" s="1682"/>
      <c r="D191" s="347"/>
      <c r="J191" s="4461"/>
      <c r="K191" s="4461"/>
      <c r="L191" s="4461"/>
      <c r="M191" s="1174"/>
      <c r="N191" s="1682"/>
      <c r="O191" s="1682"/>
      <c r="P191" s="1174"/>
      <c r="Q191" s="1174"/>
      <c r="R191" s="1174"/>
      <c r="S191" s="1174"/>
      <c r="T191" s="1682"/>
      <c r="U191" s="1174"/>
      <c r="V191" s="1174"/>
      <c r="W191" s="552"/>
      <c r="X191" s="1174"/>
      <c r="Y191" s="1174"/>
      <c r="Z191" s="1174"/>
      <c r="AA191" s="1174"/>
      <c r="AB191" s="1174"/>
      <c r="AC191" s="1678"/>
      <c r="AD191" s="574"/>
      <c r="AE191" s="574"/>
      <c r="AF191" s="574"/>
      <c r="AG191" s="574"/>
    </row>
    <row s="4362" customFormat="1" customHeight="1" ht="11.25">
      <c r="A192" s="1000"/>
      <c r="B192" s="1682"/>
      <c r="C192" s="1682"/>
      <c r="D192" s="347"/>
      <c r="J192" s="4461"/>
      <c r="K192" s="4461"/>
      <c r="L192" s="4461"/>
      <c r="M192" s="1174"/>
      <c r="N192" s="1682"/>
      <c r="O192" s="1682"/>
      <c r="P192" s="1174"/>
      <c r="Q192" s="1174"/>
      <c r="R192" s="1174"/>
      <c r="S192" s="1174"/>
      <c r="T192" s="1682"/>
      <c r="U192" s="1174"/>
      <c r="V192" s="1174"/>
      <c r="W192" s="552"/>
      <c r="X192" s="1174"/>
      <c r="Y192" s="1174"/>
      <c r="Z192" s="1174"/>
      <c r="AA192" s="1174"/>
      <c r="AB192" s="1174"/>
      <c r="AC192" s="1678"/>
      <c r="AD192" s="574"/>
      <c r="AE192" s="574"/>
      <c r="AF192" s="574"/>
      <c r="AG192" s="574"/>
    </row>
    <row s="4362" customFormat="1" customHeight="1" ht="11.25">
      <c r="A193" s="1000"/>
      <c r="B193" s="1682"/>
      <c r="C193" s="1682"/>
      <c r="D193" s="347"/>
      <c r="J193" s="4461"/>
      <c r="K193" s="4461"/>
      <c r="L193" s="4461"/>
      <c r="M193" s="1174"/>
      <c r="N193" s="1682"/>
      <c r="O193" s="1682"/>
      <c r="P193" s="1174"/>
      <c r="Q193" s="1174"/>
      <c r="R193" s="1174"/>
      <c r="S193" s="1174"/>
      <c r="T193" s="1682"/>
      <c r="U193" s="1174"/>
      <c r="V193" s="1174"/>
      <c r="W193" s="552"/>
      <c r="X193" s="1174"/>
      <c r="Y193" s="1174"/>
      <c r="Z193" s="1174"/>
      <c r="AA193" s="1174"/>
      <c r="AB193" s="1174"/>
      <c r="AC193" s="1678"/>
      <c r="AD193" s="574"/>
      <c r="AE193" s="574"/>
      <c r="AF193" s="574"/>
      <c r="AG193" s="574"/>
    </row>
    <row s="4362" customFormat="1" customHeight="1" ht="11.25">
      <c r="A194" s="1000"/>
      <c r="B194" s="1682"/>
      <c r="C194" s="1682"/>
      <c r="D194" s="347"/>
      <c r="J194" s="4461"/>
      <c r="K194" s="4461"/>
      <c r="L194" s="4461"/>
      <c r="M194" s="1174"/>
      <c r="N194" s="1682"/>
      <c r="O194" s="1682"/>
      <c r="P194" s="1174"/>
      <c r="Q194" s="1174"/>
      <c r="R194" s="1174"/>
      <c r="S194" s="1174"/>
      <c r="T194" s="1682"/>
      <c r="U194" s="1174"/>
      <c r="V194" s="1174"/>
      <c r="W194" s="552"/>
      <c r="X194" s="1174"/>
      <c r="Y194" s="1174"/>
      <c r="Z194" s="1174"/>
      <c r="AA194" s="1174"/>
      <c r="AB194" s="1174"/>
      <c r="AC194" s="1678"/>
      <c r="AD194" s="574"/>
      <c r="AE194" s="574"/>
      <c r="AF194" s="574"/>
      <c r="AG194" s="574"/>
    </row>
    <row s="4362" customFormat="1" customHeight="1" ht="11.25">
      <c r="A195" s="1000"/>
      <c r="B195" s="1682"/>
      <c r="C195" s="1682"/>
      <c r="D195" s="347"/>
      <c r="J195" s="4461"/>
      <c r="K195" s="4461"/>
      <c r="L195" s="4461"/>
      <c r="M195" s="1174"/>
      <c r="N195" s="1682"/>
      <c r="O195" s="1682"/>
      <c r="P195" s="1174"/>
      <c r="Q195" s="1174"/>
      <c r="R195" s="1174"/>
      <c r="S195" s="1174"/>
      <c r="T195" s="1682"/>
      <c r="U195" s="1174"/>
      <c r="V195" s="1174"/>
      <c r="W195" s="552"/>
      <c r="X195" s="1174"/>
      <c r="Y195" s="1174"/>
      <c r="Z195" s="1174"/>
      <c r="AA195" s="1174"/>
      <c r="AB195" s="1174"/>
      <c r="AC195" s="1678"/>
      <c r="AD195" s="574"/>
      <c r="AE195" s="574"/>
      <c r="AF195" s="574"/>
      <c r="AG195" s="574"/>
    </row>
    <row customHeight="1" ht="11.25">
      <c r="J196" s="4122"/>
      <c r="K196" s="4122"/>
      <c r="L196" s="4122"/>
    </row>
    <row customHeight="1" ht="11.25">
      <c r="J197" s="4122"/>
      <c r="K197" s="4122"/>
      <c r="L197" s="4122"/>
    </row>
    <row customHeight="1" ht="11.25">
      <c r="J198" s="4122"/>
      <c r="K198" s="4122"/>
      <c r="L198" s="4122"/>
    </row>
    <row customHeight="1" ht="11.25">
      <c r="A199" s="1003"/>
      <c r="B199" s="1677"/>
      <c r="D199" s="1677"/>
      <c r="J199" s="4122"/>
      <c r="K199" s="4122"/>
      <c r="L199" s="4122"/>
      <c r="M199" s="1677"/>
      <c r="P199" s="1677"/>
      <c r="Q199" s="1677"/>
      <c r="R199" s="1677"/>
      <c r="S199" s="1677"/>
      <c r="U199" s="1677"/>
      <c r="V199" s="1677"/>
      <c r="W199" s="1677"/>
      <c r="X199" s="1677"/>
      <c r="Y199" s="1677"/>
      <c r="Z199" s="1677"/>
      <c r="AA199" s="1677"/>
      <c r="AB199" s="1677"/>
      <c r="AC199" s="1677"/>
      <c r="AD199" s="1677"/>
      <c r="AE199" s="1677"/>
      <c r="AF199" s="1677"/>
      <c r="AG199" s="1677"/>
    </row>
    <row customHeight="1" ht="11.25">
      <c r="A200" s="1003"/>
      <c r="B200" s="1677"/>
      <c r="D200" s="1677"/>
      <c r="J200" s="4122"/>
      <c r="K200" s="4122"/>
      <c r="L200" s="4122"/>
      <c r="M200" s="1677"/>
      <c r="P200" s="1677"/>
      <c r="Q200" s="1677"/>
      <c r="R200" s="1677"/>
      <c r="S200" s="1677"/>
      <c r="U200" s="1677"/>
      <c r="V200" s="1677"/>
      <c r="W200" s="1677"/>
      <c r="X200" s="1677"/>
      <c r="Y200" s="1677"/>
      <c r="Z200" s="1677"/>
      <c r="AA200" s="1677"/>
      <c r="AB200" s="1677"/>
      <c r="AC200" s="1677"/>
      <c r="AD200" s="1677"/>
      <c r="AE200" s="1677"/>
      <c r="AF200" s="1677"/>
      <c r="AG200" s="1677"/>
    </row>
    <row customHeight="1" ht="11.25">
      <c r="A201" s="1003"/>
      <c r="B201" s="1677"/>
      <c r="D201" s="1677"/>
      <c r="J201" s="4122"/>
      <c r="K201" s="4122"/>
      <c r="L201" s="4122"/>
      <c r="M201" s="1677"/>
      <c r="P201" s="1677"/>
      <c r="Q201" s="1677"/>
      <c r="R201" s="1677"/>
      <c r="S201" s="1677"/>
      <c r="U201" s="1677"/>
      <c r="V201" s="1677"/>
      <c r="W201" s="1677"/>
      <c r="X201" s="1677"/>
      <c r="Y201" s="1677"/>
      <c r="Z201" s="1677"/>
      <c r="AA201" s="1677"/>
      <c r="AB201" s="1677"/>
      <c r="AC201" s="1677"/>
      <c r="AD201" s="1677"/>
      <c r="AE201" s="1677"/>
      <c r="AF201" s="1677"/>
      <c r="AG201" s="1677"/>
    </row>
    <row customHeight="1" ht="11.25">
      <c r="A202" s="1003"/>
      <c r="B202" s="1677"/>
      <c r="D202" s="1677"/>
      <c r="J202" s="4122"/>
      <c r="K202" s="4122"/>
      <c r="L202" s="4122"/>
      <c r="M202" s="1677"/>
      <c r="P202" s="1677"/>
      <c r="Q202" s="1677"/>
      <c r="R202" s="1677"/>
      <c r="S202" s="1677"/>
      <c r="U202" s="1677"/>
      <c r="V202" s="1677"/>
      <c r="W202" s="1677"/>
      <c r="X202" s="1677"/>
      <c r="Y202" s="1677"/>
      <c r="Z202" s="1677"/>
      <c r="AA202" s="1677"/>
      <c r="AB202" s="1677"/>
      <c r="AC202" s="1677"/>
      <c r="AD202" s="1677"/>
      <c r="AE202" s="1677"/>
      <c r="AF202" s="1677"/>
      <c r="AG202" s="1677"/>
    </row>
    <row customHeight="1" ht="11.25">
      <c r="A203" s="1003"/>
      <c r="B203" s="1677"/>
      <c r="D203" s="1677"/>
      <c r="J203" s="4122"/>
      <c r="K203" s="4122"/>
      <c r="L203" s="4122"/>
      <c r="M203" s="1677"/>
      <c r="P203" s="1677"/>
      <c r="Q203" s="1677"/>
      <c r="R203" s="1677"/>
      <c r="S203" s="1677"/>
      <c r="U203" s="1677"/>
      <c r="V203" s="1677"/>
      <c r="W203" s="1677"/>
      <c r="X203" s="1677"/>
      <c r="Y203" s="1677"/>
      <c r="Z203" s="1677"/>
      <c r="AA203" s="1677"/>
      <c r="AB203" s="1677"/>
      <c r="AC203" s="1677"/>
      <c r="AD203" s="1677"/>
      <c r="AE203" s="1677"/>
      <c r="AF203" s="1677"/>
      <c r="AG203" s="1677"/>
    </row>
    <row customHeight="1" ht="11.25">
      <c r="A204" s="1003"/>
      <c r="B204" s="1677"/>
      <c r="D204" s="1677"/>
      <c r="J204" s="4122"/>
      <c r="K204" s="4122"/>
      <c r="L204" s="4122"/>
      <c r="M204" s="1677"/>
      <c r="P204" s="1677"/>
      <c r="Q204" s="1677"/>
      <c r="R204" s="1677"/>
      <c r="S204" s="1677"/>
      <c r="U204" s="1677"/>
      <c r="V204" s="1677"/>
      <c r="W204" s="1677"/>
      <c r="X204" s="1677"/>
      <c r="Y204" s="1677"/>
      <c r="Z204" s="1677"/>
      <c r="AA204" s="1677"/>
      <c r="AB204" s="1677"/>
      <c r="AC204" s="1677"/>
      <c r="AD204" s="1677"/>
      <c r="AE204" s="1677"/>
      <c r="AF204" s="1677"/>
      <c r="AG204" s="1677"/>
    </row>
    <row customHeight="1" ht="11.25">
      <c r="A205" s="1003"/>
      <c r="B205" s="1677"/>
      <c r="D205" s="1677"/>
      <c r="J205" s="4122"/>
      <c r="K205" s="4122"/>
      <c r="L205" s="4122"/>
      <c r="M205" s="1677"/>
      <c r="P205" s="1677"/>
      <c r="Q205" s="1677"/>
      <c r="R205" s="1677"/>
      <c r="S205" s="1677"/>
      <c r="U205" s="1677"/>
      <c r="V205" s="1677"/>
      <c r="W205" s="1677"/>
      <c r="X205" s="1677"/>
      <c r="Y205" s="1677"/>
      <c r="Z205" s="1677"/>
      <c r="AA205" s="1677"/>
      <c r="AB205" s="1677"/>
      <c r="AC205" s="1677"/>
      <c r="AD205" s="1677"/>
      <c r="AE205" s="1677"/>
      <c r="AF205" s="1677"/>
      <c r="AG205" s="1677"/>
    </row>
    <row customHeight="1" ht="11.25">
      <c r="A206" s="1003"/>
      <c r="B206" s="1677"/>
      <c r="D206" s="1677"/>
      <c r="J206" s="4122"/>
      <c r="K206" s="4122"/>
      <c r="L206" s="4122"/>
      <c r="M206" s="1677"/>
      <c r="P206" s="1677"/>
      <c r="Q206" s="1677"/>
      <c r="R206" s="1677"/>
      <c r="S206" s="1677"/>
      <c r="U206" s="1677"/>
      <c r="V206" s="1677"/>
      <c r="W206" s="1677"/>
      <c r="X206" s="1677"/>
      <c r="Y206" s="1677"/>
      <c r="Z206" s="1677"/>
      <c r="AA206" s="1677"/>
      <c r="AB206" s="1677"/>
      <c r="AC206" s="1677"/>
      <c r="AD206" s="1677"/>
      <c r="AE206" s="1677"/>
      <c r="AF206" s="1677"/>
      <c r="AG206" s="1677"/>
    </row>
    <row customHeight="1" ht="11.25">
      <c r="A207" s="1003"/>
      <c r="B207" s="1677"/>
      <c r="D207" s="1677"/>
      <c r="J207" s="4122"/>
      <c r="K207" s="4122"/>
      <c r="L207" s="4122"/>
      <c r="M207" s="1677"/>
      <c r="P207" s="1677"/>
      <c r="Q207" s="1677"/>
      <c r="R207" s="1677"/>
      <c r="S207" s="1677"/>
      <c r="U207" s="1677"/>
      <c r="V207" s="1677"/>
      <c r="W207" s="1677"/>
      <c r="X207" s="1677"/>
      <c r="Y207" s="1677"/>
      <c r="Z207" s="1677"/>
      <c r="AA207" s="1677"/>
      <c r="AB207" s="1677"/>
      <c r="AC207" s="1677"/>
      <c r="AD207" s="1677"/>
      <c r="AE207" s="1677"/>
      <c r="AF207" s="1677"/>
      <c r="AG207" s="1677"/>
    </row>
    <row customHeight="1" ht="11.25">
      <c r="A208" s="1003"/>
      <c r="B208" s="1677"/>
      <c r="D208" s="1677"/>
      <c r="J208" s="4122"/>
      <c r="K208" s="4122"/>
      <c r="L208" s="4122"/>
      <c r="M208" s="1677"/>
      <c r="P208" s="1677"/>
      <c r="Q208" s="1677"/>
      <c r="R208" s="1677"/>
      <c r="S208" s="1677"/>
      <c r="U208" s="1677"/>
      <c r="V208" s="1677"/>
      <c r="W208" s="1677"/>
      <c r="X208" s="1677"/>
      <c r="Y208" s="1677"/>
      <c r="Z208" s="1677"/>
      <c r="AA208" s="1677"/>
      <c r="AB208" s="1677"/>
      <c r="AC208" s="1677"/>
      <c r="AD208" s="1677"/>
      <c r="AE208" s="1677"/>
      <c r="AF208" s="1677"/>
      <c r="AG208" s="1677"/>
    </row>
    <row customHeight="1" ht="11.25">
      <c r="A209" s="1003"/>
      <c r="B209" s="1677"/>
      <c r="D209" s="1677"/>
      <c r="J209" s="4122"/>
      <c r="K209" s="4122"/>
      <c r="L209" s="4122"/>
      <c r="M209" s="1677"/>
      <c r="P209" s="1677"/>
      <c r="Q209" s="1677"/>
      <c r="R209" s="1677"/>
      <c r="S209" s="1677"/>
      <c r="U209" s="1677"/>
      <c r="V209" s="1677"/>
      <c r="W209" s="1677"/>
      <c r="X209" s="1677"/>
      <c r="Y209" s="1677"/>
      <c r="Z209" s="1677"/>
      <c r="AA209" s="1677"/>
      <c r="AB209" s="1677"/>
      <c r="AC209" s="1677"/>
      <c r="AD209" s="1677"/>
      <c r="AE209" s="1677"/>
      <c r="AF209" s="1677"/>
      <c r="AG209" s="1677"/>
    </row>
  </sheetData>
  <sheetProtection formatColumns="0" formatRows="0" autoFilter="0" sort="0" insertRows="0" insertColumns="1" deleteRows="0" deleteColumns="0"/>
  <mergeCells count="8">
    <mergeCell ref="F39:L39"/>
    <mergeCell ref="F40:L40"/>
    <mergeCell ref="E6:I6"/>
    <mergeCell ref="E7:I7"/>
    <mergeCell ref="F10:G10"/>
    <mergeCell ref="F11:G11"/>
    <mergeCell ref="F12:G12"/>
    <mergeCell ref="E13:G13"/>
  </mergeCells>
  <dataValidations count="5">
    <dataValidation type="decimal" allowBlank="1" showErrorMessage="1" errorTitle="Ошибка" error="Допускается ввод только действительных чисел!" sqref="H32:K34 L32 L33 L34">
      <formula1>-9.99999999999999E+37</formula1>
      <formula2>9.99999999999999E+37</formula2>
    </dataValidation>
    <dataValidation type="decimal" allowBlank="1" showErrorMessage="1" errorTitle="Ошибка" error="Допускается ввод только действительных чисел!" sqref="H30:K30 L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K35 L35">
      <formula1>900</formula1>
    </dataValidation>
    <dataValidation type="decimal" allowBlank="1" showErrorMessage="1" errorTitle="Ошибка" error="Допускается ввод только неотрицательных чисел!" sqref="H31:K31 H2:K2 H15:K15 H17:K27 H36:K37 L2 L15 L17 L18 L19 L20 L21 L22 L23 L24 L25 L26 L27 L31 L36 L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L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2C889A-D886-11C2-000A-957A79F0D55D}" mc:Ignorable="x14ac xr xr2 xr3">
  <sheetPr>
    <tabColor theme="9" tint="-0.25"/>
  </sheetPr>
  <dimension ref="A1:AA101"/>
  <sheetViews>
    <sheetView topLeftCell="A1" showGridLines="0" zoomScale="90" workbookViewId="0">
      <selection activeCell="E89" sqref="E89"/>
    </sheetView>
  </sheetViews>
  <sheetFormatPr defaultColWidth="10.57421875" customHeight="1" defaultRowHeight="11.25"/>
  <cols>
    <col min="1" max="1" style="4536" width="9.140625" hidden="1" customWidth="1"/>
    <col min="2" max="2" style="2587" width="3.57421875" hidden="1" customWidth="1"/>
    <col min="3" max="3" style="3090" width="3.7109375" customWidth="1"/>
    <col min="4" max="4" style="3090" width="7.7109375" customWidth="1"/>
    <col min="5" max="5" style="3090" width="69.8515625" customWidth="1"/>
    <col min="6" max="6" style="3090" width="11.140625" customWidth="1"/>
    <col min="7" max="8" style="3090" width="44.00390625" hidden="1" customWidth="1"/>
    <col min="9" max="9" style="2599" width="44.00390625" customWidth="1"/>
    <col min="10" max="10" style="2599" width="24.76171875" customWidth="1"/>
    <col min="11" max="14" style="4122" width="44.00390625" customWidth="1"/>
    <col min="15" max="15" style="3090" width="74.00390625" customWidth="1"/>
    <col min="16" max="16" style="3090" width="3.7109375" customWidth="1"/>
    <col min="17" max="27" style="3090" width="10.57421875"/>
  </cols>
  <sheetData>
    <row s="2600" customFormat="1" customHeight="1" ht="11.25" hidden="1">
      <c r="A1" s="544"/>
      <c r="B1" s="519"/>
      <c r="G1" s="424">
        <v>4</v>
      </c>
      <c r="I1" s="424">
        <v>4</v>
      </c>
      <c r="K1" s="4116">
        <v>4</v>
      </c>
      <c r="L1" s="4116"/>
      <c r="M1" s="4116">
        <v>4</v>
      </c>
      <c r="N1" s="4116"/>
      <c r="O1" s="424">
        <v>5</v>
      </c>
    </row>
    <row customHeight="1" ht="3">
      <c r="K2" s="4122"/>
      <c r="L2" s="4122"/>
      <c r="M2" s="4122"/>
      <c r="N2" s="4122"/>
    </row>
    <row customHeight="1" ht="35.25">
      <c r="D3" s="1996"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97"/>
      <c r="F3" s="1998"/>
      <c r="K3" s="4122"/>
      <c r="L3" s="4122"/>
      <c r="M3" s="4122"/>
      <c r="N3" s="4122"/>
    </row>
    <row s="2599" customFormat="1" customHeight="1" ht="20.25">
      <c r="A4" s="964"/>
      <c r="B4" s="519"/>
      <c r="D4" s="2053" t="str">
        <f>IF(org=0,"Не определено",org)</f>
        <v>МУП "Уссурийск-Водоканал"</v>
      </c>
      <c r="E4" s="2054"/>
      <c r="F4" s="2055"/>
      <c r="K4" s="4122"/>
      <c r="L4" s="4122"/>
      <c r="M4" s="4122"/>
      <c r="N4" s="4122"/>
    </row>
    <row customHeight="1" ht="11.25">
      <c r="C5" s="517"/>
      <c r="D5" s="596"/>
      <c r="E5" s="596"/>
      <c r="F5" s="596"/>
      <c r="G5" s="596"/>
      <c r="H5" s="762"/>
      <c r="I5" s="596"/>
      <c r="J5" s="762"/>
      <c r="K5" s="4122"/>
      <c r="L5" s="4125"/>
      <c r="M5" s="4122"/>
      <c r="N5" s="4125"/>
      <c r="O5" s="596"/>
    </row>
    <row customHeight="1" ht="0.75">
      <c r="C6" s="517"/>
      <c r="D6" s="517"/>
      <c r="E6" s="530"/>
      <c r="F6" s="622"/>
      <c r="G6" s="1035"/>
      <c r="H6" s="1035"/>
      <c r="I6" s="1035" t="s">
        <v>118</v>
      </c>
      <c r="J6" s="1035"/>
      <c r="K6" s="4539" t="s">
        <v>123</v>
      </c>
      <c r="L6" s="4539"/>
      <c r="M6" s="4539" t="s">
        <v>126</v>
      </c>
      <c r="N6" s="4539"/>
    </row>
    <row customHeight="1" ht="11.25">
      <c r="D7" s="719"/>
      <c r="E7" s="2308" t="s">
        <v>105</v>
      </c>
      <c r="F7" s="2309"/>
      <c r="G7" s="2347" t="str">
        <f>IF(G6="","",INDEX(DIFFERENTIATION_UNMERGE_VD,MATCH(G6,DIFFERENTIATION_ID_DIFF,0)))</f>
        <v/>
      </c>
      <c r="H7" s="2348"/>
      <c r="I7" s="2347" t="str">
        <f>IF(I6="","",INDEX(DIFFERENTIATION_UNMERGE_VD,MATCH(I6,DIFFERENTIATION_ID_DIFF,0)))</f>
        <v>Водоотведение</v>
      </c>
      <c r="J7" s="2348"/>
      <c r="K7" s="4353" t="str">
        <f>IF(K6="","",INDEX(DIFFERENTIATION_UNMERGE_VD,MATCH(K6,DIFFERENTIATION_ID_DIFF,0)))</f>
        <v>Водоотведение</v>
      </c>
      <c r="L7" s="4542"/>
      <c r="M7" s="4353" t="str">
        <f>IF(M6="","",INDEX(DIFFERENTIATION_UNMERGE_VD,MATCH(M6,DIFFERENTIATION_ID_DIFF,0)))</f>
        <v>Подключение (технологическое присоединение) к централизованной системе водоотведения</v>
      </c>
      <c r="N7" s="4542"/>
      <c r="O7" s="2012"/>
      <c r="P7" s="517"/>
    </row>
    <row customHeight="1" ht="11.25">
      <c r="A8" s="712"/>
      <c r="D8" s="719"/>
      <c r="E8" s="2308" t="s">
        <v>418</v>
      </c>
      <c r="F8" s="2309"/>
      <c r="G8" s="2347" t="str">
        <f>IF(G6="","",INDEX(DIFFERENTIATION_UNMERGE_AREA,MATCH(G6,DIFFERENTIATION_ID_DIFF,0)))</f>
        <v/>
      </c>
      <c r="H8" s="2348"/>
      <c r="I8" s="2347" t="str">
        <f>IF(I6="","",INDEX(DIFFERENTIATION_UNMERGE_AREA,MATCH(I6,DIFFERENTIATION_ID_DIFF,0)))</f>
        <v>без дифференциации</v>
      </c>
      <c r="J8" s="2348"/>
      <c r="K8" s="4353" t="str">
        <f>IF(K6="","",INDEX(DIFFERENTIATION_UNMERGE_AREA,MATCH(K6,DIFFERENTIATION_ID_DIFF,0)))</f>
        <v>без дифференциации</v>
      </c>
      <c r="L8" s="4542"/>
      <c r="M8" s="4353" t="str">
        <f>IF(M6="","",INDEX(DIFFERENTIATION_UNMERGE_AREA,MATCH(M6,DIFFERENTIATION_ID_DIFF,0)))</f>
        <v>без дифференциации</v>
      </c>
      <c r="N8" s="4542"/>
      <c r="O8" s="2036"/>
      <c r="P8" s="517"/>
    </row>
    <row customHeight="1" ht="11.25">
      <c r="A9" s="712"/>
      <c r="D9" s="719"/>
      <c r="E9" s="2308" t="s">
        <v>419</v>
      </c>
      <c r="F9" s="2309"/>
      <c r="G9" s="2347" t="str">
        <f>IF(G6="","",INDEX(DIFFERENTIATION_UNMERGE_SYSTEM,MATCH(G6,DIFFERENTIATION_ID_DIFF,0)))</f>
        <v/>
      </c>
      <c r="H9" s="2348"/>
      <c r="I9" s="2347" t="str">
        <f>IF(I6="","",INDEX(DIFFERENTIATION_UNMERGE_SYSTEM,MATCH(I6,DIFFERENTIATION_ID_DIFF,0)))</f>
        <v>Уссурийский  городской  округ</v>
      </c>
      <c r="J9" s="2348"/>
      <c r="K9" s="4353" t="str">
        <f>IF(K6="","",INDEX(DIFFERENTIATION_UNMERGE_SYSTEM,MATCH(K6,DIFFERENTIATION_ID_DIFF,0)))</f>
        <v>ООО " Промышленный  парк  Уссурийский " и  ООО                   "АльянсГрупп"</v>
      </c>
      <c r="L9" s="4542"/>
      <c r="M9" s="4353" t="str">
        <f>IF(M6="","",INDEX(DIFFERENTIATION_UNMERGE_SYSTEM,MATCH(M6,DIFFERENTIATION_ID_DIFF,0)))</f>
        <v>без дифференциации</v>
      </c>
      <c r="N9" s="4542"/>
      <c r="O9" s="2036"/>
      <c r="P9" s="517"/>
    </row>
    <row s="2599" customFormat="1" customHeight="1" ht="11.25">
      <c r="A10" s="1034"/>
      <c r="B10" s="519"/>
      <c r="D10" s="1940" t="s">
        <v>293</v>
      </c>
      <c r="E10" s="1941"/>
      <c r="F10" s="1941"/>
      <c r="G10" s="1941"/>
      <c r="H10" s="1941"/>
      <c r="I10" s="1941"/>
      <c r="J10" s="1942"/>
      <c r="K10" s="4545"/>
      <c r="L10" s="4545"/>
      <c r="M10" s="4545"/>
      <c r="N10" s="4545"/>
      <c r="O10" s="2036"/>
      <c r="P10" s="517"/>
    </row>
    <row s="2603" customFormat="1" customHeight="1" ht="22.5">
      <c r="A11" s="2305"/>
      <c r="B11" s="2305"/>
      <c r="C11" s="665"/>
      <c r="D11" s="711" t="s">
        <v>88</v>
      </c>
      <c r="E11" s="713" t="s">
        <v>1818</v>
      </c>
      <c r="F11" s="713" t="s">
        <v>1616</v>
      </c>
      <c r="G11" s="473" t="s">
        <v>296</v>
      </c>
      <c r="H11" s="473" t="s">
        <v>385</v>
      </c>
      <c r="I11" s="817" t="s">
        <v>296</v>
      </c>
      <c r="J11" s="818" t="s">
        <v>385</v>
      </c>
      <c r="K11" s="4142" t="s">
        <v>296</v>
      </c>
      <c r="L11" s="4142" t="s">
        <v>385</v>
      </c>
      <c r="M11" s="4142" t="s">
        <v>296</v>
      </c>
      <c r="N11" s="4142" t="s">
        <v>385</v>
      </c>
      <c r="O11" s="2071"/>
      <c r="P11" s="666"/>
    </row>
    <row s="2587" customFormat="1" customHeight="1" ht="10.5">
      <c r="A12" s="965"/>
      <c r="D12" s="1038" t="s">
        <v>109</v>
      </c>
      <c r="E12" s="1038" t="s">
        <v>110</v>
      </c>
      <c r="F12" s="1038" t="s">
        <v>90</v>
      </c>
      <c r="G12" s="1039" t="str">
        <f>G1&amp;".1"</f>
        <v>4.1</v>
      </c>
      <c r="H12" s="1039" t="str">
        <f>G1&amp;".2"</f>
        <v>4.2</v>
      </c>
      <c r="I12" s="1039" t="str">
        <f>I1&amp;".1"</f>
        <v>4.1</v>
      </c>
      <c r="J12" s="1039" t="str">
        <f>I1&amp;".2"</f>
        <v>4.2</v>
      </c>
      <c r="K12" s="4552" t="str">
        <f>K1&amp;".1"</f>
        <v>4.1</v>
      </c>
      <c r="L12" s="4552" t="str">
        <f>K1&amp;".2"</f>
        <v>4.2</v>
      </c>
      <c r="M12" s="4552" t="str">
        <f>M1&amp;".1"</f>
        <v>4.1</v>
      </c>
      <c r="N12" s="4552" t="str">
        <f>M1&amp;".2"</f>
        <v>4.2</v>
      </c>
      <c r="O12" s="1039"/>
    </row>
    <row customHeight="1" ht="22.5" hidden="1">
      <c r="A13" s="2346" t="s">
        <v>597</v>
      </c>
      <c r="D13" s="966" t="s">
        <v>109</v>
      </c>
      <c r="E13" s="267" t="s">
        <v>1617</v>
      </c>
      <c r="F13" s="668" t="s">
        <v>1618</v>
      </c>
      <c r="G13" s="565"/>
      <c r="H13" s="669"/>
      <c r="I13" s="565"/>
      <c r="J13" s="669"/>
      <c r="K13" s="4358"/>
      <c r="L13" s="4557"/>
      <c r="M13" s="4358"/>
      <c r="N13" s="4557"/>
      <c r="O13" s="277" t="s">
        <v>1619</v>
      </c>
      <c r="P13" s="728"/>
    </row>
    <row customHeight="1" ht="22.5" hidden="1">
      <c r="A14" s="2346"/>
      <c r="D14" s="547" t="s">
        <v>110</v>
      </c>
      <c r="E14" s="267" t="s">
        <v>1620</v>
      </c>
      <c r="F14" s="668" t="s">
        <v>1621</v>
      </c>
      <c r="G14" s="565"/>
      <c r="H14" s="670"/>
      <c r="I14" s="565"/>
      <c r="J14" s="670"/>
      <c r="K14" s="4358"/>
      <c r="L14" s="4557"/>
      <c r="M14" s="4358"/>
      <c r="N14" s="4557"/>
      <c r="O14" s="277" t="s">
        <v>1622</v>
      </c>
      <c r="P14" s="728"/>
    </row>
    <row s="2599" customFormat="1" customHeight="1" ht="78.75" hidden="1">
      <c r="A15" s="2346"/>
      <c r="B15" s="519"/>
      <c r="D15" s="966" t="s">
        <v>90</v>
      </c>
      <c r="E15" s="715" t="s">
        <v>1625</v>
      </c>
      <c r="F15" s="963" t="s">
        <v>299</v>
      </c>
      <c r="G15" s="963" t="s">
        <v>299</v>
      </c>
      <c r="H15" s="92"/>
      <c r="I15" s="963" t="s">
        <v>299</v>
      </c>
      <c r="J15" s="92"/>
      <c r="K15" s="4142" t="s">
        <v>299</v>
      </c>
      <c r="L15" s="4160"/>
      <c r="M15" s="4142" t="s">
        <v>299</v>
      </c>
      <c r="N15" s="4160"/>
      <c r="O15" s="277" t="s">
        <v>1819</v>
      </c>
      <c r="P15" s="728"/>
    </row>
    <row s="2599" customFormat="1" customHeight="1" ht="22.5" hidden="1">
      <c r="A16" s="2346"/>
      <c r="B16" s="519"/>
      <c r="D16" s="966" t="s">
        <v>319</v>
      </c>
      <c r="E16" s="967" t="s">
        <v>1627</v>
      </c>
      <c r="F16" s="963" t="s">
        <v>1628</v>
      </c>
      <c r="G16" s="827"/>
      <c r="H16" s="92"/>
      <c r="I16" s="827"/>
      <c r="J16" s="92"/>
      <c r="K16" s="4159"/>
      <c r="L16" s="4160"/>
      <c r="M16" s="4159"/>
      <c r="N16" s="4160"/>
      <c r="O16" s="277"/>
      <c r="P16" s="728"/>
    </row>
    <row s="2599" customFormat="1" customHeight="1" ht="22.5" hidden="1">
      <c r="A17" s="2346"/>
      <c r="B17" s="519"/>
      <c r="D17" s="966" t="s">
        <v>327</v>
      </c>
      <c r="E17" s="967" t="s">
        <v>1629</v>
      </c>
      <c r="F17" s="963" t="s">
        <v>1630</v>
      </c>
      <c r="G17" s="827"/>
      <c r="H17" s="92"/>
      <c r="I17" s="827"/>
      <c r="J17" s="92"/>
      <c r="K17" s="4159"/>
      <c r="L17" s="4160"/>
      <c r="M17" s="4159"/>
      <c r="N17" s="4160"/>
      <c r="O17" s="277"/>
      <c r="P17" s="728"/>
    </row>
    <row s="2599" customFormat="1" customHeight="1" ht="33.75" hidden="1">
      <c r="A18" s="2346"/>
      <c r="B18" s="519"/>
      <c r="D18" s="966" t="s">
        <v>329</v>
      </c>
      <c r="E18" s="967" t="s">
        <v>1632</v>
      </c>
      <c r="F18" s="963" t="s">
        <v>1245</v>
      </c>
      <c r="G18" s="688"/>
      <c r="H18" s="92"/>
      <c r="I18" s="688"/>
      <c r="J18" s="92"/>
      <c r="K18" s="4163"/>
      <c r="L18" s="4160"/>
      <c r="M18" s="4163"/>
      <c r="N18" s="4160"/>
      <c r="O18" s="277"/>
      <c r="P18" s="728"/>
    </row>
    <row customHeight="1" ht="101.25" hidden="1">
      <c r="A19" s="2346"/>
      <c r="D19" s="966" t="s">
        <v>91</v>
      </c>
      <c r="E19" s="267" t="s">
        <v>1820</v>
      </c>
      <c r="F19" s="668" t="s">
        <v>430</v>
      </c>
      <c r="G19" s="671"/>
      <c r="H19" s="670"/>
      <c r="I19" s="968"/>
      <c r="J19" s="670"/>
      <c r="K19" s="4562"/>
      <c r="L19" s="4557"/>
      <c r="M19" s="4562"/>
      <c r="N19" s="4557"/>
      <c r="O19" s="277" t="s">
        <v>1821</v>
      </c>
      <c r="P19" s="728"/>
    </row>
    <row s="2599" customFormat="1" customHeight="1" ht="18.75" hidden="1">
      <c r="A20" s="2346"/>
      <c r="C20" s="969"/>
      <c r="D20" s="966" t="s">
        <v>1466</v>
      </c>
      <c r="E20" s="967" t="s">
        <v>1822</v>
      </c>
      <c r="F20" s="963" t="s">
        <v>299</v>
      </c>
      <c r="G20" s="963" t="s">
        <v>299</v>
      </c>
      <c r="H20" s="962" t="s">
        <v>299</v>
      </c>
      <c r="I20" s="963" t="s">
        <v>299</v>
      </c>
      <c r="J20" s="962" t="s">
        <v>299</v>
      </c>
      <c r="K20" s="4142" t="s">
        <v>299</v>
      </c>
      <c r="L20" s="4153" t="s">
        <v>299</v>
      </c>
      <c r="M20" s="4142" t="s">
        <v>299</v>
      </c>
      <c r="N20" s="4153" t="s">
        <v>299</v>
      </c>
      <c r="O20" s="961"/>
      <c r="P20" s="728"/>
      <c r="AA20" s="683"/>
    </row>
    <row s="2599" customFormat="1" customHeight="1" ht="33.75" hidden="1">
      <c r="A21" s="2346"/>
      <c r="C21" s="969"/>
      <c r="D21" s="966" t="s">
        <v>1474</v>
      </c>
      <c r="E21" s="584" t="s">
        <v>1823</v>
      </c>
      <c r="F21" s="963" t="s">
        <v>1824</v>
      </c>
      <c r="G21" s="955"/>
      <c r="H21" s="92"/>
      <c r="I21" s="955"/>
      <c r="J21" s="92"/>
      <c r="K21" s="4568"/>
      <c r="L21" s="4160"/>
      <c r="M21" s="4568"/>
      <c r="N21" s="4160"/>
      <c r="O21" s="961"/>
      <c r="P21" s="728"/>
      <c r="AA21" s="683"/>
    </row>
    <row s="2599" customFormat="1" customHeight="1" ht="33.75" hidden="1">
      <c r="A22" s="2346"/>
      <c r="C22" s="969"/>
      <c r="D22" s="966" t="s">
        <v>1479</v>
      </c>
      <c r="E22" s="584" t="s">
        <v>1825</v>
      </c>
      <c r="F22" s="963" t="s">
        <v>1826</v>
      </c>
      <c r="G22" s="955"/>
      <c r="H22" s="92"/>
      <c r="I22" s="955"/>
      <c r="J22" s="92"/>
      <c r="K22" s="4568"/>
      <c r="L22" s="4160"/>
      <c r="M22" s="4568"/>
      <c r="N22" s="4160"/>
      <c r="O22" s="961"/>
      <c r="P22" s="728"/>
      <c r="AA22" s="683"/>
    </row>
    <row s="2599" customFormat="1" customHeight="1" ht="22.5" hidden="1">
      <c r="A23" s="2346"/>
      <c r="C23" s="969"/>
      <c r="D23" s="966" t="s">
        <v>1483</v>
      </c>
      <c r="E23" s="967" t="s">
        <v>1827</v>
      </c>
      <c r="F23" s="963" t="s">
        <v>299</v>
      </c>
      <c r="G23" s="963" t="s">
        <v>299</v>
      </c>
      <c r="H23" s="962" t="s">
        <v>299</v>
      </c>
      <c r="I23" s="963" t="s">
        <v>299</v>
      </c>
      <c r="J23" s="962" t="s">
        <v>299</v>
      </c>
      <c r="K23" s="4142" t="s">
        <v>299</v>
      </c>
      <c r="L23" s="4153" t="s">
        <v>299</v>
      </c>
      <c r="M23" s="4142" t="s">
        <v>299</v>
      </c>
      <c r="N23" s="4153" t="s">
        <v>299</v>
      </c>
      <c r="O23" s="961"/>
      <c r="P23" s="728"/>
      <c r="AA23" s="683"/>
    </row>
    <row s="2599" customFormat="1" customHeight="1" ht="22.5" hidden="1">
      <c r="A24" s="2346"/>
      <c r="C24" s="969"/>
      <c r="D24" s="966" t="s">
        <v>1828</v>
      </c>
      <c r="E24" s="584" t="s">
        <v>1829</v>
      </c>
      <c r="F24" s="963" t="s">
        <v>1830</v>
      </c>
      <c r="G24" s="955"/>
      <c r="H24" s="694"/>
      <c r="I24" s="955"/>
      <c r="J24" s="694"/>
      <c r="K24" s="4568"/>
      <c r="L24" s="4184"/>
      <c r="M24" s="4568"/>
      <c r="N24" s="4184"/>
      <c r="O24" s="961"/>
      <c r="P24" s="728"/>
      <c r="AA24" s="683"/>
    </row>
    <row s="2599" customFormat="1" customHeight="1" ht="22.5" hidden="1">
      <c r="A25" s="2346"/>
      <c r="C25" s="969"/>
      <c r="D25" s="966" t="s">
        <v>1831</v>
      </c>
      <c r="E25" s="584" t="s">
        <v>1832</v>
      </c>
      <c r="F25" s="963" t="s">
        <v>299</v>
      </c>
      <c r="G25" s="963" t="s">
        <v>299</v>
      </c>
      <c r="H25" s="962" t="s">
        <v>299</v>
      </c>
      <c r="I25" s="963" t="s">
        <v>299</v>
      </c>
      <c r="J25" s="962" t="s">
        <v>299</v>
      </c>
      <c r="K25" s="4142" t="s">
        <v>299</v>
      </c>
      <c r="L25" s="4153" t="s">
        <v>299</v>
      </c>
      <c r="M25" s="4142" t="s">
        <v>299</v>
      </c>
      <c r="N25" s="4153" t="s">
        <v>299</v>
      </c>
      <c r="O25" s="961"/>
      <c r="P25" s="728"/>
      <c r="AA25" s="683"/>
    </row>
    <row s="2599" customFormat="1" customHeight="1" ht="18.75" hidden="1">
      <c r="A26" s="2346"/>
      <c r="C26" s="969"/>
      <c r="D26" s="966" t="s">
        <v>1833</v>
      </c>
      <c r="E26" s="561" t="s">
        <v>1834</v>
      </c>
      <c r="F26" s="963" t="s">
        <v>1835</v>
      </c>
      <c r="G26" s="688"/>
      <c r="H26" s="694"/>
      <c r="I26" s="688"/>
      <c r="J26" s="694"/>
      <c r="K26" s="4163"/>
      <c r="L26" s="4184"/>
      <c r="M26" s="4163"/>
      <c r="N26" s="4184"/>
      <c r="O26" s="961"/>
      <c r="P26" s="728"/>
      <c r="AA26" s="683"/>
    </row>
    <row s="2599" customFormat="1" customHeight="1" ht="18.75" hidden="1">
      <c r="A27" s="2346"/>
      <c r="C27" s="969"/>
      <c r="D27" s="966" t="s">
        <v>1836</v>
      </c>
      <c r="E27" s="561" t="s">
        <v>1837</v>
      </c>
      <c r="F27" s="963" t="s">
        <v>1838</v>
      </c>
      <c r="G27" s="688"/>
      <c r="H27" s="694"/>
      <c r="I27" s="688"/>
      <c r="J27" s="694"/>
      <c r="K27" s="4163"/>
      <c r="L27" s="4184"/>
      <c r="M27" s="4163"/>
      <c r="N27" s="4184"/>
      <c r="O27" s="961"/>
      <c r="P27" s="728"/>
      <c r="AA27" s="683"/>
    </row>
    <row s="2599" customFormat="1" customHeight="1" ht="18.75" hidden="1">
      <c r="A28" s="2346"/>
      <c r="C28" s="969"/>
      <c r="D28" s="966" t="s">
        <v>1839</v>
      </c>
      <c r="E28" s="584" t="s">
        <v>1840</v>
      </c>
      <c r="F28" s="963" t="s">
        <v>299</v>
      </c>
      <c r="G28" s="963" t="s">
        <v>299</v>
      </c>
      <c r="H28" s="962" t="s">
        <v>299</v>
      </c>
      <c r="I28" s="963" t="s">
        <v>299</v>
      </c>
      <c r="J28" s="962" t="s">
        <v>299</v>
      </c>
      <c r="K28" s="4142" t="s">
        <v>299</v>
      </c>
      <c r="L28" s="4153" t="s">
        <v>299</v>
      </c>
      <c r="M28" s="4142" t="s">
        <v>299</v>
      </c>
      <c r="N28" s="4153" t="s">
        <v>299</v>
      </c>
      <c r="O28" s="961"/>
      <c r="P28" s="728"/>
      <c r="AA28" s="683"/>
    </row>
    <row s="2599" customFormat="1" customHeight="1" ht="18.75" hidden="1">
      <c r="A29" s="2346"/>
      <c r="C29" s="969"/>
      <c r="D29" s="966" t="s">
        <v>1841</v>
      </c>
      <c r="E29" s="561" t="s">
        <v>1834</v>
      </c>
      <c r="F29" s="963" t="s">
        <v>1842</v>
      </c>
      <c r="G29" s="688"/>
      <c r="H29" s="694"/>
      <c r="I29" s="688"/>
      <c r="J29" s="694"/>
      <c r="K29" s="4163"/>
      <c r="L29" s="4184"/>
      <c r="M29" s="4163"/>
      <c r="N29" s="4184"/>
      <c r="O29" s="961"/>
      <c r="P29" s="728"/>
      <c r="AA29" s="683"/>
    </row>
    <row s="2599" customFormat="1" customHeight="1" ht="18.75" hidden="1">
      <c r="A30" s="2346"/>
      <c r="C30" s="969"/>
      <c r="D30" s="966" t="s">
        <v>1843</v>
      </c>
      <c r="E30" s="561" t="s">
        <v>1844</v>
      </c>
      <c r="F30" s="963" t="s">
        <v>1845</v>
      </c>
      <c r="G30" s="688"/>
      <c r="H30" s="694"/>
      <c r="I30" s="688"/>
      <c r="J30" s="694"/>
      <c r="K30" s="4163"/>
      <c r="L30" s="4184"/>
      <c r="M30" s="4163"/>
      <c r="N30" s="4184"/>
      <c r="O30" s="961"/>
      <c r="P30" s="728"/>
      <c r="AA30" s="683"/>
    </row>
    <row customHeight="1" ht="126.75" hidden="1">
      <c r="A31" s="2346"/>
      <c r="D31" s="966" t="s">
        <v>111</v>
      </c>
      <c r="E31" s="267" t="s">
        <v>1846</v>
      </c>
      <c r="F31" s="668" t="s">
        <v>1634</v>
      </c>
      <c r="G31" s="565"/>
      <c r="H31" s="670"/>
      <c r="I31" s="565"/>
      <c r="J31" s="670"/>
      <c r="K31" s="4358"/>
      <c r="L31" s="4557"/>
      <c r="M31" s="4358"/>
      <c r="N31" s="4557"/>
      <c r="O31" s="277" t="s">
        <v>1847</v>
      </c>
      <c r="P31" s="728"/>
    </row>
    <row customHeight="1" ht="56.25" hidden="1">
      <c r="A32" s="2346"/>
      <c r="D32" s="966" t="s">
        <v>92</v>
      </c>
      <c r="E32" s="267" t="s">
        <v>1848</v>
      </c>
      <c r="F32" s="547" t="s">
        <v>1630</v>
      </c>
      <c r="G32" s="565"/>
      <c r="H32" s="670"/>
      <c r="I32" s="565"/>
      <c r="J32" s="670"/>
      <c r="K32" s="4358"/>
      <c r="L32" s="4557"/>
      <c r="M32" s="4358"/>
      <c r="N32" s="4557"/>
      <c r="O32" s="277" t="s">
        <v>1849</v>
      </c>
      <c r="P32" s="728"/>
    </row>
    <row customHeight="1" ht="11.25" hidden="1">
      <c r="A33" s="2346"/>
      <c r="E33" s="672"/>
      <c r="F33" s="167"/>
      <c r="G33" s="167"/>
      <c r="H33" s="167"/>
      <c r="I33" s="167"/>
      <c r="J33" s="167"/>
      <c r="K33" s="4569"/>
      <c r="L33" s="4569"/>
      <c r="M33" s="4569"/>
      <c r="N33" s="4569"/>
      <c r="O33" s="167"/>
    </row>
    <row customHeight="1" ht="12.75" hidden="1">
      <c r="A34" s="2346"/>
      <c r="D34" s="49">
        <v>1</v>
      </c>
      <c r="E34" s="331" t="s">
        <v>1850</v>
      </c>
      <c r="K34" s="4122"/>
      <c r="L34" s="4122"/>
      <c r="M34" s="4122"/>
      <c r="N34" s="4122"/>
    </row>
    <row customHeight="1" ht="11.25" hidden="1">
      <c r="A35" s="2346"/>
      <c r="D35" s="369"/>
      <c r="E35" s="331" t="s">
        <v>1851</v>
      </c>
      <c r="K35" s="4122"/>
      <c r="L35" s="4122"/>
      <c r="M35" s="4122"/>
      <c r="N35" s="4122"/>
    </row>
    <row s="2603" customFormat="1" customHeight="1" ht="11.25">
      <c r="A36" s="1046"/>
      <c r="B36" s="526"/>
      <c r="D36" s="1047"/>
      <c r="E36" s="1048"/>
      <c r="K36" s="4122"/>
      <c r="L36" s="4122"/>
      <c r="M36" s="4122"/>
      <c r="N36" s="4122"/>
    </row>
    <row s="2599" customFormat="1" customHeight="1" ht="22.5" hidden="1">
      <c r="A37" s="2346" t="s">
        <v>995</v>
      </c>
      <c r="B37" s="519"/>
      <c r="D37" s="966">
        <v>1</v>
      </c>
      <c r="E37" s="715" t="s">
        <v>1852</v>
      </c>
      <c r="F37" s="668" t="s">
        <v>1618</v>
      </c>
      <c r="G37" s="565"/>
      <c r="H37" s="527"/>
      <c r="I37" s="565"/>
      <c r="J37" s="527"/>
      <c r="K37" s="4358"/>
      <c r="L37" s="4574"/>
      <c r="M37" s="4358"/>
      <c r="N37" s="4574"/>
      <c r="O37" s="277" t="s">
        <v>1853</v>
      </c>
    </row>
    <row s="2599" customFormat="1" customHeight="1" ht="22.5" hidden="1">
      <c r="A38" s="2346"/>
      <c r="B38" s="519"/>
      <c r="D38" s="677" t="s">
        <v>110</v>
      </c>
      <c r="E38" s="1045" t="s">
        <v>1854</v>
      </c>
      <c r="F38" s="1049" t="s">
        <v>430</v>
      </c>
      <c r="G38" s="1049" t="s">
        <v>430</v>
      </c>
      <c r="H38" s="1043"/>
      <c r="I38" s="1049" t="s">
        <v>430</v>
      </c>
      <c r="J38" s="1043"/>
      <c r="K38" s="4579" t="s">
        <v>430</v>
      </c>
      <c r="L38" s="4580"/>
      <c r="M38" s="4579" t="s">
        <v>430</v>
      </c>
      <c r="N38" s="4580"/>
      <c r="O38" s="1044"/>
    </row>
    <row s="2599" customFormat="1" customHeight="1" ht="33.75" hidden="1">
      <c r="A39" s="2346"/>
      <c r="B39" s="519"/>
      <c r="D39" s="673" t="s">
        <v>458</v>
      </c>
      <c r="E39" s="732" t="s">
        <v>1855</v>
      </c>
      <c r="F39" s="668" t="s">
        <v>1856</v>
      </c>
      <c r="G39" s="676"/>
      <c r="H39" s="1036"/>
      <c r="I39" s="676"/>
      <c r="J39" s="1036"/>
      <c r="K39" s="4585"/>
      <c r="L39" s="4586"/>
      <c r="M39" s="4585"/>
      <c r="N39" s="4586"/>
      <c r="O39" s="277" t="s">
        <v>1857</v>
      </c>
    </row>
    <row s="2599" customFormat="1" customHeight="1" ht="33.75" hidden="1">
      <c r="A40" s="2346"/>
      <c r="B40" s="519"/>
      <c r="D40" s="673" t="s">
        <v>1768</v>
      </c>
      <c r="E40" s="732" t="s">
        <v>1858</v>
      </c>
      <c r="F40" s="1040" t="s">
        <v>1859</v>
      </c>
      <c r="G40" s="750"/>
      <c r="H40" s="1036"/>
      <c r="I40" s="750"/>
      <c r="J40" s="1036"/>
      <c r="K40" s="4589"/>
      <c r="L40" s="4586"/>
      <c r="M40" s="4589"/>
      <c r="N40" s="4586"/>
      <c r="O40" s="277" t="s">
        <v>1860</v>
      </c>
    </row>
    <row s="2599" customFormat="1" customHeight="1" ht="22.5" hidden="1">
      <c r="A41" s="2346"/>
      <c r="B41" s="519"/>
      <c r="D41" s="673" t="s">
        <v>90</v>
      </c>
      <c r="E41" s="731" t="s">
        <v>1861</v>
      </c>
      <c r="F41" s="668" t="s">
        <v>430</v>
      </c>
      <c r="G41" s="668" t="s">
        <v>430</v>
      </c>
      <c r="H41" s="1037"/>
      <c r="I41" s="668" t="s">
        <v>430</v>
      </c>
      <c r="J41" s="1037"/>
      <c r="K41" s="4592" t="s">
        <v>430</v>
      </c>
      <c r="L41" s="4593"/>
      <c r="M41" s="4592" t="s">
        <v>430</v>
      </c>
      <c r="N41" s="4593"/>
      <c r="O41" s="290"/>
    </row>
    <row s="2599" customFormat="1" customHeight="1" ht="45" hidden="1">
      <c r="A42" s="2346"/>
      <c r="B42" s="519"/>
      <c r="D42" s="673" t="s">
        <v>319</v>
      </c>
      <c r="E42" s="732" t="s">
        <v>1862</v>
      </c>
      <c r="F42" s="668" t="s">
        <v>1634</v>
      </c>
      <c r="G42" s="565"/>
      <c r="H42" s="1037"/>
      <c r="I42" s="565"/>
      <c r="J42" s="1037"/>
      <c r="K42" s="4358"/>
      <c r="L42" s="4593"/>
      <c r="M42" s="4358"/>
      <c r="N42" s="4593"/>
      <c r="O42" s="290" t="s">
        <v>1863</v>
      </c>
    </row>
    <row s="2599" customFormat="1" customHeight="1" ht="45" hidden="1">
      <c r="A43" s="2346"/>
      <c r="B43" s="519"/>
      <c r="D43" s="673" t="s">
        <v>327</v>
      </c>
      <c r="E43" s="675" t="s">
        <v>1864</v>
      </c>
      <c r="F43" s="1041" t="s">
        <v>1634</v>
      </c>
      <c r="G43" s="751"/>
      <c r="H43" s="1036"/>
      <c r="I43" s="751"/>
      <c r="J43" s="1036"/>
      <c r="K43" s="4596"/>
      <c r="L43" s="4586"/>
      <c r="M43" s="4596"/>
      <c r="N43" s="4586"/>
      <c r="O43" s="290" t="s">
        <v>1865</v>
      </c>
    </row>
    <row s="2599" customFormat="1" customHeight="1" ht="11.25" hidden="1">
      <c r="A44" s="2346"/>
      <c r="B44" s="519"/>
      <c r="D44" s="673" t="s">
        <v>91</v>
      </c>
      <c r="E44" s="674" t="s">
        <v>1866</v>
      </c>
      <c r="F44" s="668" t="s">
        <v>1856</v>
      </c>
      <c r="G44" s="676"/>
      <c r="H44" s="1036"/>
      <c r="I44" s="676"/>
      <c r="J44" s="1036"/>
      <c r="K44" s="4585"/>
      <c r="L44" s="4586"/>
      <c r="M44" s="4585"/>
      <c r="N44" s="4586"/>
      <c r="O44" s="277"/>
    </row>
    <row s="2599" customFormat="1" customHeight="1" ht="11.25" hidden="1">
      <c r="A45" s="2346"/>
      <c r="B45" s="519"/>
      <c r="D45" s="673" t="s">
        <v>1466</v>
      </c>
      <c r="E45" s="675" t="s">
        <v>1867</v>
      </c>
      <c r="F45" s="668" t="s">
        <v>1856</v>
      </c>
      <c r="G45" s="676"/>
      <c r="H45" s="1036"/>
      <c r="I45" s="676"/>
      <c r="J45" s="1036"/>
      <c r="K45" s="4585"/>
      <c r="L45" s="4586"/>
      <c r="M45" s="4585"/>
      <c r="N45" s="4586"/>
      <c r="O45" s="277"/>
    </row>
    <row s="2599" customFormat="1" customHeight="1" ht="11.25" hidden="1">
      <c r="A46" s="2346"/>
      <c r="B46" s="519"/>
      <c r="D46" s="673" t="s">
        <v>1483</v>
      </c>
      <c r="E46" s="675" t="s">
        <v>1868</v>
      </c>
      <c r="F46" s="668" t="s">
        <v>1856</v>
      </c>
      <c r="G46" s="676"/>
      <c r="H46" s="1036"/>
      <c r="I46" s="676"/>
      <c r="J46" s="1036"/>
      <c r="K46" s="4585"/>
      <c r="L46" s="4586"/>
      <c r="M46" s="4585"/>
      <c r="N46" s="4586"/>
      <c r="O46" s="277"/>
    </row>
    <row s="2599" customFormat="1" customHeight="1" ht="11.25" hidden="1">
      <c r="A47" s="2346"/>
      <c r="B47" s="519"/>
      <c r="D47" s="673" t="s">
        <v>1631</v>
      </c>
      <c r="E47" s="675" t="s">
        <v>1869</v>
      </c>
      <c r="F47" s="668" t="s">
        <v>1856</v>
      </c>
      <c r="G47" s="676"/>
      <c r="H47" s="1036"/>
      <c r="I47" s="676"/>
      <c r="J47" s="1036"/>
      <c r="K47" s="4585"/>
      <c r="L47" s="4586"/>
      <c r="M47" s="4585"/>
      <c r="N47" s="4586"/>
      <c r="O47" s="277"/>
    </row>
    <row s="2599" customFormat="1" customHeight="1" ht="11.25" hidden="1">
      <c r="A48" s="2346"/>
      <c r="B48" s="519"/>
      <c r="D48" s="673" t="s">
        <v>1870</v>
      </c>
      <c r="E48" s="679" t="s">
        <v>1871</v>
      </c>
      <c r="F48" s="668" t="s">
        <v>1856</v>
      </c>
      <c r="G48" s="676"/>
      <c r="H48" s="1036"/>
      <c r="I48" s="676"/>
      <c r="J48" s="1036"/>
      <c r="K48" s="4585"/>
      <c r="L48" s="4586"/>
      <c r="M48" s="4585"/>
      <c r="N48" s="4586"/>
      <c r="O48" s="277"/>
    </row>
    <row s="2599" customFormat="1" customHeight="1" ht="11.25" hidden="1">
      <c r="A49" s="2346"/>
      <c r="B49" s="519"/>
      <c r="D49" s="673" t="s">
        <v>1872</v>
      </c>
      <c r="E49" s="679" t="s">
        <v>1873</v>
      </c>
      <c r="F49" s="668" t="s">
        <v>1856</v>
      </c>
      <c r="G49" s="676"/>
      <c r="H49" s="1036"/>
      <c r="I49" s="676"/>
      <c r="J49" s="1036"/>
      <c r="K49" s="4585"/>
      <c r="L49" s="4586"/>
      <c r="M49" s="4585"/>
      <c r="N49" s="4586"/>
      <c r="O49" s="277"/>
    </row>
    <row s="2599" customFormat="1" customHeight="1" ht="11.25" hidden="1">
      <c r="A50" s="2346"/>
      <c r="B50" s="519"/>
      <c r="D50" s="673" t="s">
        <v>1874</v>
      </c>
      <c r="E50" s="675" t="s">
        <v>1875</v>
      </c>
      <c r="F50" s="668" t="s">
        <v>1856</v>
      </c>
      <c r="G50" s="676"/>
      <c r="H50" s="1036"/>
      <c r="I50" s="676"/>
      <c r="J50" s="1036"/>
      <c r="K50" s="4585"/>
      <c r="L50" s="4586"/>
      <c r="M50" s="4585"/>
      <c r="N50" s="4586"/>
      <c r="O50" s="277"/>
    </row>
    <row s="2599" customFormat="1" customHeight="1" ht="11.25" hidden="1">
      <c r="A51" s="2346"/>
      <c r="B51" s="519"/>
      <c r="D51" s="673" t="s">
        <v>1876</v>
      </c>
      <c r="E51" s="675" t="s">
        <v>1877</v>
      </c>
      <c r="F51" s="668" t="s">
        <v>1856</v>
      </c>
      <c r="G51" s="676"/>
      <c r="H51" s="1036"/>
      <c r="I51" s="676"/>
      <c r="J51" s="1036"/>
      <c r="K51" s="4585"/>
      <c r="L51" s="4586"/>
      <c r="M51" s="4585"/>
      <c r="N51" s="4586"/>
      <c r="O51" s="277"/>
    </row>
    <row s="2599" customFormat="1" customHeight="1" ht="45" hidden="1">
      <c r="A52" s="2346"/>
      <c r="B52" s="519"/>
      <c r="D52" s="673" t="s">
        <v>111</v>
      </c>
      <c r="E52" s="674" t="s">
        <v>1878</v>
      </c>
      <c r="F52" s="668" t="s">
        <v>1856</v>
      </c>
      <c r="G52" s="676"/>
      <c r="H52" s="1036"/>
      <c r="I52" s="676"/>
      <c r="J52" s="1036"/>
      <c r="K52" s="4585"/>
      <c r="L52" s="4586"/>
      <c r="M52" s="4585"/>
      <c r="N52" s="4586"/>
      <c r="O52" s="277"/>
    </row>
    <row s="2599" customFormat="1" customHeight="1" ht="11.25" hidden="1">
      <c r="A53" s="2346"/>
      <c r="B53" s="519"/>
      <c r="D53" s="673" t="s">
        <v>308</v>
      </c>
      <c r="E53" s="675" t="s">
        <v>1867</v>
      </c>
      <c r="F53" s="668" t="s">
        <v>1856</v>
      </c>
      <c r="G53" s="676"/>
      <c r="H53" s="1036"/>
      <c r="I53" s="676"/>
      <c r="J53" s="1036"/>
      <c r="K53" s="4585"/>
      <c r="L53" s="4586"/>
      <c r="M53" s="4585"/>
      <c r="N53" s="4586"/>
      <c r="O53" s="277"/>
    </row>
    <row s="2599" customFormat="1" customHeight="1" ht="11.25" hidden="1">
      <c r="A54" s="2346"/>
      <c r="B54" s="519"/>
      <c r="D54" s="673" t="s">
        <v>310</v>
      </c>
      <c r="E54" s="675" t="s">
        <v>1868</v>
      </c>
      <c r="F54" s="668" t="s">
        <v>1856</v>
      </c>
      <c r="G54" s="676"/>
      <c r="H54" s="1036"/>
      <c r="I54" s="676"/>
      <c r="J54" s="1036"/>
      <c r="K54" s="4585"/>
      <c r="L54" s="4586"/>
      <c r="M54" s="4585"/>
      <c r="N54" s="4586"/>
      <c r="O54" s="277"/>
    </row>
    <row s="2599" customFormat="1" customHeight="1" ht="11.25" hidden="1">
      <c r="A55" s="2346"/>
      <c r="B55" s="519"/>
      <c r="D55" s="673" t="s">
        <v>313</v>
      </c>
      <c r="E55" s="675" t="s">
        <v>1869</v>
      </c>
      <c r="F55" s="668" t="s">
        <v>1856</v>
      </c>
      <c r="G55" s="676"/>
      <c r="H55" s="1036"/>
      <c r="I55" s="676"/>
      <c r="J55" s="1036"/>
      <c r="K55" s="4585"/>
      <c r="L55" s="4586"/>
      <c r="M55" s="4585"/>
      <c r="N55" s="4586"/>
      <c r="O55" s="277"/>
    </row>
    <row s="2599" customFormat="1" customHeight="1" ht="11.25" hidden="1">
      <c r="A56" s="2346"/>
      <c r="B56" s="519"/>
      <c r="D56" s="673" t="s">
        <v>1611</v>
      </c>
      <c r="E56" s="679" t="s">
        <v>1871</v>
      </c>
      <c r="F56" s="668" t="s">
        <v>1856</v>
      </c>
      <c r="G56" s="676"/>
      <c r="H56" s="1036"/>
      <c r="I56" s="676"/>
      <c r="J56" s="1036"/>
      <c r="K56" s="4585"/>
      <c r="L56" s="4586"/>
      <c r="M56" s="4585"/>
      <c r="N56" s="4586"/>
      <c r="O56" s="277"/>
    </row>
    <row s="2599" customFormat="1" customHeight="1" ht="11.25" hidden="1">
      <c r="A57" s="2346"/>
      <c r="B57" s="519"/>
      <c r="D57" s="673" t="s">
        <v>1879</v>
      </c>
      <c r="E57" s="679" t="s">
        <v>1873</v>
      </c>
      <c r="F57" s="668" t="s">
        <v>1856</v>
      </c>
      <c r="G57" s="676"/>
      <c r="H57" s="1036"/>
      <c r="I57" s="676"/>
      <c r="J57" s="1036"/>
      <c r="K57" s="4585"/>
      <c r="L57" s="4586"/>
      <c r="M57" s="4585"/>
      <c r="N57" s="4586"/>
      <c r="O57" s="277"/>
    </row>
    <row s="2599" customFormat="1" customHeight="1" ht="11.25" hidden="1">
      <c r="A58" s="2346"/>
      <c r="B58" s="519"/>
      <c r="D58" s="673" t="s">
        <v>315</v>
      </c>
      <c r="E58" s="675" t="s">
        <v>1875</v>
      </c>
      <c r="F58" s="668" t="s">
        <v>1856</v>
      </c>
      <c r="G58" s="676"/>
      <c r="H58" s="1036"/>
      <c r="I58" s="676"/>
      <c r="J58" s="1036"/>
      <c r="K58" s="4585"/>
      <c r="L58" s="4586"/>
      <c r="M58" s="4585"/>
      <c r="N58" s="4586"/>
      <c r="O58" s="277"/>
    </row>
    <row s="2599" customFormat="1" customHeight="1" ht="11.25" hidden="1">
      <c r="A59" s="2346"/>
      <c r="B59" s="519"/>
      <c r="D59" s="673" t="s">
        <v>1880</v>
      </c>
      <c r="E59" s="675" t="s">
        <v>1877</v>
      </c>
      <c r="F59" s="668" t="s">
        <v>1856</v>
      </c>
      <c r="G59" s="676"/>
      <c r="H59" s="1036"/>
      <c r="I59" s="676"/>
      <c r="J59" s="1036"/>
      <c r="K59" s="4585"/>
      <c r="L59" s="4586"/>
      <c r="M59" s="4585"/>
      <c r="N59" s="4586"/>
      <c r="O59" s="277"/>
    </row>
    <row s="2599" customFormat="1" customHeight="1" ht="33.75" hidden="1">
      <c r="A60" s="2346"/>
      <c r="B60" s="519"/>
      <c r="D60" s="673" t="s">
        <v>92</v>
      </c>
      <c r="E60" s="674" t="s">
        <v>1881</v>
      </c>
      <c r="F60" s="730" t="s">
        <v>1634</v>
      </c>
      <c r="G60" s="751"/>
      <c r="H60" s="1036"/>
      <c r="I60" s="751"/>
      <c r="J60" s="1036"/>
      <c r="K60" s="4596"/>
      <c r="L60" s="4586"/>
      <c r="M60" s="4596"/>
      <c r="N60" s="4586"/>
      <c r="O60" s="290" t="s">
        <v>1882</v>
      </c>
    </row>
    <row s="2599" customFormat="1" customHeight="1" ht="33.75" hidden="1">
      <c r="A61" s="2346"/>
      <c r="B61" s="519"/>
      <c r="D61" s="673" t="s">
        <v>93</v>
      </c>
      <c r="E61" s="674" t="s">
        <v>1883</v>
      </c>
      <c r="F61" s="735" t="s">
        <v>1630</v>
      </c>
      <c r="G61" s="676"/>
      <c r="H61" s="1036"/>
      <c r="I61" s="676"/>
      <c r="J61" s="1036"/>
      <c r="K61" s="4585"/>
      <c r="L61" s="4586"/>
      <c r="M61" s="4585"/>
      <c r="N61" s="4586"/>
      <c r="O61" s="277"/>
    </row>
    <row s="2599" customFormat="1" customHeight="1" ht="22.5" hidden="1">
      <c r="A62" s="2346"/>
      <c r="B62" s="519" t="s">
        <v>1743</v>
      </c>
      <c r="D62" s="673" t="s">
        <v>112</v>
      </c>
      <c r="E62" s="674" t="s">
        <v>1884</v>
      </c>
      <c r="F62" s="735" t="s">
        <v>299</v>
      </c>
      <c r="G62" s="388"/>
      <c r="H62" s="1036"/>
      <c r="I62" s="388"/>
      <c r="J62" s="1036"/>
      <c r="K62" s="4602"/>
      <c r="L62" s="4586"/>
      <c r="M62" s="4602"/>
      <c r="N62" s="4586"/>
      <c r="O62" s="277" t="s">
        <v>1561</v>
      </c>
    </row>
    <row s="2599" customFormat="1" customHeight="1" ht="45" hidden="1">
      <c r="A63" s="2346"/>
      <c r="B63" s="519" t="s">
        <v>1743</v>
      </c>
      <c r="D63" s="673" t="s">
        <v>1885</v>
      </c>
      <c r="E63" s="675" t="s">
        <v>1886</v>
      </c>
      <c r="F63" s="730" t="s">
        <v>299</v>
      </c>
      <c r="G63" s="388"/>
      <c r="H63" s="1036"/>
      <c r="I63" s="388"/>
      <c r="J63" s="1036"/>
      <c r="K63" s="4602"/>
      <c r="L63" s="4586"/>
      <c r="M63" s="4602"/>
      <c r="N63" s="4586"/>
      <c r="O63" s="277" t="s">
        <v>1561</v>
      </c>
    </row>
    <row s="2603" customFormat="1" customHeight="1" ht="11.25">
      <c r="A64" s="1046"/>
      <c r="B64" s="526"/>
      <c r="D64" s="1047"/>
      <c r="E64" s="1048"/>
      <c r="K64" s="4122"/>
      <c r="L64" s="4122"/>
      <c r="M64" s="4122"/>
      <c r="N64" s="4122"/>
    </row>
    <row s="2599" customFormat="1" customHeight="1" ht="22.5" hidden="1">
      <c r="A65" s="2346" t="s">
        <v>1010</v>
      </c>
      <c r="B65" s="519"/>
      <c r="D65" s="673">
        <v>1</v>
      </c>
      <c r="E65" s="753" t="s">
        <v>1887</v>
      </c>
      <c r="F65" s="749" t="s">
        <v>1618</v>
      </c>
      <c r="G65" s="750"/>
      <c r="H65" s="1042"/>
      <c r="I65" s="750"/>
      <c r="J65" s="1042"/>
      <c r="K65" s="4589"/>
      <c r="L65" s="4606"/>
      <c r="M65" s="4589"/>
      <c r="N65" s="4606"/>
      <c r="O65" s="289" t="s">
        <v>1888</v>
      </c>
    </row>
    <row s="2599" customFormat="1" customHeight="1" ht="56.25" hidden="1">
      <c r="A66" s="2346"/>
      <c r="B66" s="519"/>
      <c r="D66" s="752" t="s">
        <v>110</v>
      </c>
      <c r="E66" s="715" t="s">
        <v>1889</v>
      </c>
      <c r="F66" s="668" t="s">
        <v>430</v>
      </c>
      <c r="G66" s="668" t="s">
        <v>430</v>
      </c>
      <c r="H66" s="527"/>
      <c r="I66" s="668" t="s">
        <v>430</v>
      </c>
      <c r="J66" s="527"/>
      <c r="K66" s="4592" t="s">
        <v>430</v>
      </c>
      <c r="L66" s="4574"/>
      <c r="M66" s="4592" t="s">
        <v>430</v>
      </c>
      <c r="N66" s="4574"/>
      <c r="O66" s="277"/>
    </row>
    <row s="2599" customFormat="1" customHeight="1" ht="33.75" hidden="1">
      <c r="A67" s="2346"/>
      <c r="B67" s="519"/>
      <c r="D67" s="752" t="s">
        <v>456</v>
      </c>
      <c r="E67" s="967" t="s">
        <v>1890</v>
      </c>
      <c r="F67" s="668" t="s">
        <v>1859</v>
      </c>
      <c r="G67" s="736"/>
      <c r="H67" s="527"/>
      <c r="I67" s="736"/>
      <c r="J67" s="527"/>
      <c r="K67" s="4609"/>
      <c r="L67" s="4574"/>
      <c r="M67" s="4609"/>
      <c r="N67" s="4574"/>
      <c r="O67" s="277"/>
    </row>
    <row s="2599" customFormat="1" customHeight="1" ht="22.5" hidden="1">
      <c r="A68" s="2346"/>
      <c r="B68" s="519"/>
      <c r="D68" s="752" t="s">
        <v>300</v>
      </c>
      <c r="E68" s="967" t="s">
        <v>1891</v>
      </c>
      <c r="F68" s="668" t="s">
        <v>1859</v>
      </c>
      <c r="G68" s="736"/>
      <c r="H68" s="527"/>
      <c r="I68" s="736"/>
      <c r="J68" s="527"/>
      <c r="K68" s="4609"/>
      <c r="L68" s="4574"/>
      <c r="M68" s="4609"/>
      <c r="N68" s="4574"/>
      <c r="O68" s="277"/>
    </row>
    <row s="2599" customFormat="1" customHeight="1" ht="22.5" hidden="1">
      <c r="A69" s="2346"/>
      <c r="B69" s="519"/>
      <c r="D69" s="752" t="s">
        <v>303</v>
      </c>
      <c r="E69" s="967" t="s">
        <v>1892</v>
      </c>
      <c r="F69" s="730" t="s">
        <v>1634</v>
      </c>
      <c r="G69" s="751"/>
      <c r="H69" s="527"/>
      <c r="I69" s="751"/>
      <c r="J69" s="527"/>
      <c r="K69" s="4596"/>
      <c r="L69" s="4574"/>
      <c r="M69" s="4596"/>
      <c r="N69" s="4574"/>
      <c r="O69" s="277"/>
    </row>
    <row s="2599" customFormat="1" customHeight="1" ht="22.5" hidden="1">
      <c r="A70" s="2346"/>
      <c r="B70" s="519"/>
      <c r="D70" s="752" t="s">
        <v>1367</v>
      </c>
      <c r="E70" s="967" t="s">
        <v>1893</v>
      </c>
      <c r="F70" s="730" t="s">
        <v>1634</v>
      </c>
      <c r="G70" s="751"/>
      <c r="H70" s="527"/>
      <c r="I70" s="751"/>
      <c r="J70" s="527"/>
      <c r="K70" s="4596"/>
      <c r="L70" s="4574"/>
      <c r="M70" s="4596"/>
      <c r="N70" s="4574"/>
      <c r="O70" s="277"/>
    </row>
    <row s="2599" customFormat="1" customHeight="1" ht="22.5" hidden="1">
      <c r="A71" s="2346"/>
      <c r="B71" s="519"/>
      <c r="D71" s="673" t="s">
        <v>90</v>
      </c>
      <c r="E71" s="674" t="s">
        <v>1894</v>
      </c>
      <c r="F71" s="668" t="s">
        <v>1859</v>
      </c>
      <c r="G71" s="565"/>
      <c r="H71" s="1043"/>
      <c r="I71" s="565"/>
      <c r="J71" s="1043"/>
      <c r="K71" s="4358"/>
      <c r="L71" s="4580"/>
      <c r="M71" s="4358"/>
      <c r="N71" s="4580"/>
      <c r="O71" s="290"/>
    </row>
    <row s="2599" customFormat="1" customHeight="1" ht="56.25" hidden="1">
      <c r="A72" s="2346"/>
      <c r="B72" s="519"/>
      <c r="D72" s="673" t="s">
        <v>91</v>
      </c>
      <c r="E72" s="674" t="s">
        <v>1895</v>
      </c>
      <c r="F72" s="730" t="s">
        <v>1634</v>
      </c>
      <c r="G72" s="751"/>
      <c r="H72" s="1036"/>
      <c r="I72" s="751"/>
      <c r="J72" s="1036"/>
      <c r="K72" s="4596"/>
      <c r="L72" s="4586"/>
      <c r="M72" s="4596"/>
      <c r="N72" s="4586"/>
      <c r="O72" s="290"/>
    </row>
    <row s="2599" customFormat="1" customHeight="1" ht="33.75" hidden="1">
      <c r="A73" s="2346"/>
      <c r="B73" s="519"/>
      <c r="D73" s="673" t="s">
        <v>111</v>
      </c>
      <c r="E73" s="674" t="s">
        <v>1896</v>
      </c>
      <c r="F73" s="735" t="s">
        <v>1630</v>
      </c>
      <c r="G73" s="676"/>
      <c r="H73" s="1036"/>
      <c r="I73" s="676"/>
      <c r="J73" s="1036"/>
      <c r="K73" s="4585"/>
      <c r="L73" s="4586"/>
      <c r="M73" s="4585"/>
      <c r="N73" s="4586"/>
      <c r="O73" s="277"/>
    </row>
    <row s="2599" customFormat="1" customHeight="1" ht="22.5" hidden="1">
      <c r="A74" s="2346"/>
      <c r="B74" s="519" t="s">
        <v>1743</v>
      </c>
      <c r="D74" s="673" t="s">
        <v>92</v>
      </c>
      <c r="E74" s="674" t="s">
        <v>1897</v>
      </c>
      <c r="F74" s="735" t="s">
        <v>299</v>
      </c>
      <c r="G74" s="388"/>
      <c r="H74" s="1036"/>
      <c r="I74" s="388"/>
      <c r="J74" s="1036"/>
      <c r="K74" s="4602"/>
      <c r="L74" s="4586"/>
      <c r="M74" s="4602"/>
      <c r="N74" s="4586"/>
      <c r="O74" s="277" t="s">
        <v>1561</v>
      </c>
    </row>
    <row s="2599" customFormat="1" customHeight="1" ht="45" hidden="1">
      <c r="A75" s="2346"/>
      <c r="B75" s="519" t="s">
        <v>1743</v>
      </c>
      <c r="D75" s="673" t="s">
        <v>1371</v>
      </c>
      <c r="E75" s="675" t="s">
        <v>1898</v>
      </c>
      <c r="F75" s="730" t="s">
        <v>299</v>
      </c>
      <c r="G75" s="388"/>
      <c r="H75" s="1036"/>
      <c r="I75" s="388"/>
      <c r="J75" s="1036"/>
      <c r="K75" s="4602"/>
      <c r="L75" s="4586"/>
      <c r="M75" s="4602"/>
      <c r="N75" s="4586"/>
      <c r="O75" s="277" t="s">
        <v>1561</v>
      </c>
    </row>
    <row s="2603" customFormat="1" customHeight="1" ht="11.25">
      <c r="A76" s="1046"/>
      <c r="B76" s="526"/>
      <c r="D76" s="1047"/>
      <c r="E76" s="1048"/>
      <c r="K76" s="4122"/>
      <c r="L76" s="4122"/>
      <c r="M76" s="4122"/>
      <c r="N76" s="4122"/>
    </row>
    <row s="2599" customFormat="1" customHeight="1" ht="11.25">
      <c r="A77" s="2346" t="s">
        <v>599</v>
      </c>
      <c r="B77" s="519"/>
      <c r="D77" s="673">
        <v>1</v>
      </c>
      <c r="E77" s="674" t="s">
        <v>1899</v>
      </c>
      <c r="F77" s="730" t="s">
        <v>1618</v>
      </c>
      <c r="G77" s="733"/>
      <c r="H77" s="1036"/>
      <c r="I77" s="733">
        <v>0.15</v>
      </c>
      <c r="J77" s="1036"/>
      <c r="K77" s="4610">
        <v>0.58</v>
      </c>
      <c r="L77" s="4586"/>
      <c r="M77" s="4610">
        <v>0</v>
      </c>
      <c r="N77" s="4586"/>
      <c r="O77" s="277" t="s">
        <v>1900</v>
      </c>
    </row>
    <row s="2599" customFormat="1" customHeight="1" ht="11.25">
      <c r="A78" s="2346"/>
      <c r="B78" s="519"/>
      <c r="D78" s="673" t="s">
        <v>110</v>
      </c>
      <c r="E78" s="674" t="s">
        <v>1901</v>
      </c>
      <c r="F78" s="730" t="s">
        <v>1618</v>
      </c>
      <c r="G78" s="733"/>
      <c r="H78" s="1036"/>
      <c r="I78" s="733">
        <v>12.94</v>
      </c>
      <c r="J78" s="1036"/>
      <c r="K78" s="4610">
        <v>0</v>
      </c>
      <c r="L78" s="4586"/>
      <c r="M78" s="4610">
        <v>0</v>
      </c>
      <c r="N78" s="4586"/>
      <c r="O78" s="277" t="s">
        <v>1902</v>
      </c>
    </row>
    <row s="2599" customFormat="1" customHeight="1" ht="22.5">
      <c r="A79" s="2346"/>
      <c r="B79" s="519"/>
      <c r="D79" s="673" t="s">
        <v>90</v>
      </c>
      <c r="E79" s="731" t="s">
        <v>1903</v>
      </c>
      <c r="F79" s="668" t="s">
        <v>1856</v>
      </c>
      <c r="G79" s="733"/>
      <c r="H79" s="1036"/>
      <c r="I79" s="733">
        <v>3435</v>
      </c>
      <c r="J79" s="1036"/>
      <c r="K79" s="4610">
        <v>3435</v>
      </c>
      <c r="L79" s="4586"/>
      <c r="M79" s="4610">
        <v>0</v>
      </c>
      <c r="N79" s="4586"/>
      <c r="O79" s="277" t="s">
        <v>1904</v>
      </c>
    </row>
    <row s="2599" customFormat="1" customHeight="1" ht="11.25">
      <c r="A80" s="2346"/>
      <c r="B80" s="519"/>
      <c r="D80" s="673" t="s">
        <v>319</v>
      </c>
      <c r="E80" s="732" t="s">
        <v>1905</v>
      </c>
      <c r="F80" s="668" t="s">
        <v>1856</v>
      </c>
      <c r="G80" s="733"/>
      <c r="H80" s="1036"/>
      <c r="I80" s="733">
        <v>655</v>
      </c>
      <c r="J80" s="1036"/>
      <c r="K80" s="4610">
        <v>655</v>
      </c>
      <c r="L80" s="4586"/>
      <c r="M80" s="4610">
        <v>0</v>
      </c>
      <c r="N80" s="4586"/>
      <c r="O80" s="277"/>
    </row>
    <row s="2599" customFormat="1" customHeight="1" ht="11.25">
      <c r="A81" s="2346"/>
      <c r="B81" s="519"/>
      <c r="D81" s="673" t="s">
        <v>327</v>
      </c>
      <c r="E81" s="732" t="s">
        <v>1906</v>
      </c>
      <c r="F81" s="668" t="s">
        <v>1856</v>
      </c>
      <c r="G81" s="733"/>
      <c r="H81" s="1036"/>
      <c r="I81" s="733">
        <v>516</v>
      </c>
      <c r="J81" s="1036"/>
      <c r="K81" s="4610">
        <v>516</v>
      </c>
      <c r="L81" s="4586"/>
      <c r="M81" s="4610">
        <v>0</v>
      </c>
      <c r="N81" s="4586"/>
      <c r="O81" s="277"/>
    </row>
    <row s="2599" customFormat="1" customHeight="1" ht="11.25">
      <c r="A82" s="2346"/>
      <c r="B82" s="519"/>
      <c r="D82" s="673" t="s">
        <v>329</v>
      </c>
      <c r="E82" s="732" t="s">
        <v>1907</v>
      </c>
      <c r="F82" s="668" t="s">
        <v>1856</v>
      </c>
      <c r="G82" s="733"/>
      <c r="H82" s="1036"/>
      <c r="I82" s="733">
        <v>636</v>
      </c>
      <c r="J82" s="1036"/>
      <c r="K82" s="4610">
        <v>636</v>
      </c>
      <c r="L82" s="4586"/>
      <c r="M82" s="4610">
        <v>0</v>
      </c>
      <c r="N82" s="4586"/>
      <c r="O82" s="277"/>
    </row>
    <row s="2599" customFormat="1" customHeight="1" ht="11.25">
      <c r="A83" s="2346"/>
      <c r="B83" s="519"/>
      <c r="D83" s="673" t="s">
        <v>331</v>
      </c>
      <c r="E83" s="732" t="s">
        <v>1908</v>
      </c>
      <c r="F83" s="668" t="s">
        <v>1856</v>
      </c>
      <c r="G83" s="733"/>
      <c r="H83" s="1036"/>
      <c r="I83" s="733">
        <v>472</v>
      </c>
      <c r="J83" s="1036"/>
      <c r="K83" s="4610">
        <v>472</v>
      </c>
      <c r="L83" s="4586"/>
      <c r="M83" s="4610">
        <v>0</v>
      </c>
      <c r="N83" s="4586"/>
      <c r="O83" s="277"/>
    </row>
    <row s="2599" customFormat="1" customHeight="1" ht="11.25">
      <c r="A84" s="2346"/>
      <c r="B84" s="519"/>
      <c r="D84" s="673" t="s">
        <v>1909</v>
      </c>
      <c r="E84" s="732" t="s">
        <v>1910</v>
      </c>
      <c r="F84" s="668" t="s">
        <v>1856</v>
      </c>
      <c r="G84" s="733"/>
      <c r="H84" s="1036"/>
      <c r="I84" s="733">
        <v>647</v>
      </c>
      <c r="J84" s="1036"/>
      <c r="K84" s="4610">
        <v>647</v>
      </c>
      <c r="L84" s="4586"/>
      <c r="M84" s="4610">
        <v>0</v>
      </c>
      <c r="N84" s="4586"/>
      <c r="O84" s="277"/>
    </row>
    <row s="2599" customFormat="1" customHeight="1" ht="11.25">
      <c r="A85" s="2346"/>
      <c r="B85" s="519"/>
      <c r="D85" s="673" t="s">
        <v>1911</v>
      </c>
      <c r="E85" s="732" t="s">
        <v>1912</v>
      </c>
      <c r="F85" s="668" t="s">
        <v>1856</v>
      </c>
      <c r="G85" s="733"/>
      <c r="H85" s="1036"/>
      <c r="I85" s="733">
        <v>477</v>
      </c>
      <c r="J85" s="1036"/>
      <c r="K85" s="4610">
        <v>477</v>
      </c>
      <c r="L85" s="4586"/>
      <c r="M85" s="4610">
        <v>0</v>
      </c>
      <c r="N85" s="4586"/>
      <c r="O85" s="277"/>
    </row>
    <row s="2599" customFormat="1" customHeight="1" ht="11.25">
      <c r="A86" s="2346"/>
      <c r="B86" s="519"/>
      <c r="D86" s="673" t="s">
        <v>1913</v>
      </c>
      <c r="E86" s="732" t="s">
        <v>1914</v>
      </c>
      <c r="F86" s="668" t="s">
        <v>1856</v>
      </c>
      <c r="G86" s="733"/>
      <c r="H86" s="1036"/>
      <c r="I86" s="733">
        <v>32</v>
      </c>
      <c r="J86" s="1036"/>
      <c r="K86" s="4610">
        <v>32</v>
      </c>
      <c r="L86" s="4586"/>
      <c r="M86" s="4610">
        <v>0</v>
      </c>
      <c r="N86" s="4586"/>
      <c r="O86" s="277"/>
    </row>
    <row s="2599" customFormat="1" customHeight="1" ht="45">
      <c r="A87" s="2346"/>
      <c r="B87" s="519"/>
      <c r="D87" s="673" t="s">
        <v>91</v>
      </c>
      <c r="E87" s="674" t="s">
        <v>1915</v>
      </c>
      <c r="F87" s="668" t="s">
        <v>1856</v>
      </c>
      <c r="G87" s="733"/>
      <c r="H87" s="1036"/>
      <c r="I87" s="733">
        <v>125</v>
      </c>
      <c r="J87" s="1036"/>
      <c r="K87" s="4610">
        <v>125</v>
      </c>
      <c r="L87" s="4586"/>
      <c r="M87" s="4610">
        <v>0</v>
      </c>
      <c r="N87" s="4586"/>
      <c r="O87" s="277" t="s">
        <v>1916</v>
      </c>
    </row>
    <row s="2599" customFormat="1" customHeight="1" ht="11.25">
      <c r="A88" s="2346"/>
      <c r="B88" s="519"/>
      <c r="D88" s="673" t="s">
        <v>1466</v>
      </c>
      <c r="E88" s="732" t="s">
        <v>1905</v>
      </c>
      <c r="F88" s="668" t="s">
        <v>1856</v>
      </c>
      <c r="G88" s="733"/>
      <c r="H88" s="1036"/>
      <c r="I88" s="733">
        <v>38</v>
      </c>
      <c r="J88" s="1036"/>
      <c r="K88" s="4610">
        <v>38</v>
      </c>
      <c r="L88" s="4586"/>
      <c r="M88" s="4610">
        <v>0</v>
      </c>
      <c r="N88" s="4586"/>
      <c r="O88" s="277"/>
    </row>
    <row s="2599" customFormat="1" customHeight="1" ht="11.25">
      <c r="A89" s="2346"/>
      <c r="B89" s="519"/>
      <c r="D89" s="673" t="s">
        <v>1483</v>
      </c>
      <c r="E89" s="732" t="s">
        <v>1906</v>
      </c>
      <c r="F89" s="668" t="s">
        <v>1856</v>
      </c>
      <c r="G89" s="733"/>
      <c r="H89" s="1036"/>
      <c r="I89" s="733">
        <v>30</v>
      </c>
      <c r="J89" s="1036"/>
      <c r="K89" s="4610">
        <v>30</v>
      </c>
      <c r="L89" s="4586"/>
      <c r="M89" s="4610">
        <v>0</v>
      </c>
      <c r="N89" s="4586"/>
      <c r="O89" s="277"/>
    </row>
    <row s="2599" customFormat="1" customHeight="1" ht="11.25">
      <c r="A90" s="2346"/>
      <c r="B90" s="519"/>
      <c r="D90" s="673" t="s">
        <v>1631</v>
      </c>
      <c r="E90" s="732" t="s">
        <v>1907</v>
      </c>
      <c r="F90" s="668" t="s">
        <v>1856</v>
      </c>
      <c r="G90" s="733"/>
      <c r="H90" s="1036"/>
      <c r="I90" s="733">
        <v>40</v>
      </c>
      <c r="J90" s="1036"/>
      <c r="K90" s="4610">
        <v>40</v>
      </c>
      <c r="L90" s="4586"/>
      <c r="M90" s="4610">
        <v>0</v>
      </c>
      <c r="N90" s="4586"/>
      <c r="O90" s="277"/>
    </row>
    <row s="2599" customFormat="1" customHeight="1" ht="11.25">
      <c r="A91" s="2346"/>
      <c r="B91" s="519"/>
      <c r="D91" s="673" t="s">
        <v>1874</v>
      </c>
      <c r="E91" s="732" t="s">
        <v>1908</v>
      </c>
      <c r="F91" s="668" t="s">
        <v>1856</v>
      </c>
      <c r="G91" s="733"/>
      <c r="H91" s="1036"/>
      <c r="I91" s="733">
        <v>0</v>
      </c>
      <c r="J91" s="1036"/>
      <c r="K91" s="4610">
        <v>0</v>
      </c>
      <c r="L91" s="4586"/>
      <c r="M91" s="4610">
        <v>0</v>
      </c>
      <c r="N91" s="4586"/>
      <c r="O91" s="277"/>
    </row>
    <row s="2599" customFormat="1" customHeight="1" ht="11.25">
      <c r="A92" s="2346"/>
      <c r="B92" s="519"/>
      <c r="D92" s="673" t="s">
        <v>1876</v>
      </c>
      <c r="E92" s="732" t="s">
        <v>1910</v>
      </c>
      <c r="F92" s="668" t="s">
        <v>1856</v>
      </c>
      <c r="G92" s="733"/>
      <c r="H92" s="1036"/>
      <c r="I92" s="733">
        <v>15</v>
      </c>
      <c r="J92" s="1036"/>
      <c r="K92" s="4610">
        <v>15</v>
      </c>
      <c r="L92" s="4586"/>
      <c r="M92" s="4610">
        <v>0</v>
      </c>
      <c r="N92" s="4586"/>
      <c r="O92" s="277"/>
    </row>
    <row s="2599" customFormat="1" customHeight="1" ht="11.25">
      <c r="A93" s="2346"/>
      <c r="B93" s="519"/>
      <c r="D93" s="673" t="s">
        <v>1917</v>
      </c>
      <c r="E93" s="732" t="s">
        <v>1912</v>
      </c>
      <c r="F93" s="668" t="s">
        <v>1856</v>
      </c>
      <c r="G93" s="733"/>
      <c r="H93" s="1036"/>
      <c r="I93" s="733">
        <v>2</v>
      </c>
      <c r="J93" s="1036"/>
      <c r="K93" s="4610">
        <v>2</v>
      </c>
      <c r="L93" s="4586"/>
      <c r="M93" s="4610">
        <v>0</v>
      </c>
      <c r="N93" s="4586"/>
      <c r="O93" s="277"/>
    </row>
    <row s="2599" customFormat="1" customHeight="1" ht="11.25">
      <c r="A94" s="2346"/>
      <c r="B94" s="519"/>
      <c r="D94" s="673" t="s">
        <v>1918</v>
      </c>
      <c r="E94" s="732" t="s">
        <v>1914</v>
      </c>
      <c r="F94" s="668" t="s">
        <v>1856</v>
      </c>
      <c r="G94" s="733"/>
      <c r="H94" s="1036"/>
      <c r="I94" s="733">
        <v>0</v>
      </c>
      <c r="J94" s="1036"/>
      <c r="K94" s="4610">
        <v>0</v>
      </c>
      <c r="L94" s="4586"/>
      <c r="M94" s="4610">
        <v>0</v>
      </c>
      <c r="N94" s="4586"/>
      <c r="O94" s="277"/>
    </row>
    <row s="2599" customFormat="1" customHeight="1" ht="24.75">
      <c r="A95" s="2346"/>
      <c r="B95" s="519"/>
      <c r="D95" s="673" t="s">
        <v>111</v>
      </c>
      <c r="E95" s="674" t="s">
        <v>1919</v>
      </c>
      <c r="F95" s="734" t="s">
        <v>1634</v>
      </c>
      <c r="G95" s="736"/>
      <c r="H95" s="1036"/>
      <c r="I95" s="736">
        <v>100</v>
      </c>
      <c r="J95" s="1036"/>
      <c r="K95" s="4609">
        <v>100</v>
      </c>
      <c r="L95" s="4586"/>
      <c r="M95" s="4609">
        <v>100</v>
      </c>
      <c r="N95" s="4586"/>
      <c r="O95" s="277" t="s">
        <v>1920</v>
      </c>
    </row>
    <row s="2599" customFormat="1" customHeight="1" ht="33.75">
      <c r="A96" s="2346"/>
      <c r="B96" s="519"/>
      <c r="D96" s="673" t="s">
        <v>92</v>
      </c>
      <c r="E96" s="674" t="s">
        <v>1921</v>
      </c>
      <c r="F96" s="735" t="s">
        <v>1630</v>
      </c>
      <c r="G96" s="737"/>
      <c r="H96" s="1036"/>
      <c r="I96" s="737">
        <v>17</v>
      </c>
      <c r="J96" s="1036"/>
      <c r="K96" s="4613">
        <v>17</v>
      </c>
      <c r="L96" s="4586"/>
      <c r="M96" s="4613">
        <v>17</v>
      </c>
      <c r="N96" s="4586"/>
      <c r="O96" s="277"/>
    </row>
    <row s="2599" customFormat="1" customHeight="1" ht="22.5">
      <c r="A97" s="2346"/>
      <c r="B97" s="519" t="s">
        <v>1743</v>
      </c>
      <c r="D97" s="673" t="s">
        <v>93</v>
      </c>
      <c r="E97" s="674" t="s">
        <v>1922</v>
      </c>
      <c r="F97" s="735" t="s">
        <v>299</v>
      </c>
      <c r="G97" s="391"/>
      <c r="H97" s="1036"/>
      <c r="I97" s="391" t="s">
        <v>1923</v>
      </c>
      <c r="J97" s="1036"/>
      <c r="K97" s="4614" t="s">
        <v>1923</v>
      </c>
      <c r="L97" s="4586"/>
      <c r="M97" s="4614" t="s">
        <v>1923</v>
      </c>
      <c r="N97" s="4586"/>
      <c r="O97" s="277" t="s">
        <v>1561</v>
      </c>
    </row>
    <row s="2599" customFormat="1" customHeight="1" ht="45">
      <c r="A98" s="2346"/>
      <c r="B98" s="519" t="s">
        <v>1743</v>
      </c>
      <c r="D98" s="673" t="s">
        <v>1924</v>
      </c>
      <c r="E98" s="675" t="s">
        <v>1925</v>
      </c>
      <c r="F98" s="730" t="s">
        <v>299</v>
      </c>
      <c r="G98" s="391"/>
      <c r="H98" s="1036"/>
      <c r="I98" s="391" t="s">
        <v>1923</v>
      </c>
      <c r="J98" s="1036"/>
      <c r="K98" s="4614" t="s">
        <v>1923</v>
      </c>
      <c r="L98" s="4586"/>
      <c r="M98" s="4614" t="s">
        <v>1923</v>
      </c>
      <c r="N98" s="4586"/>
      <c r="O98" s="277" t="s">
        <v>1561</v>
      </c>
    </row>
    <row s="2599" customFormat="1" customHeight="1" ht="95.25">
      <c r="A99" s="2346"/>
      <c r="B99" s="519" t="s">
        <v>1743</v>
      </c>
      <c r="D99" s="673" t="s">
        <v>112</v>
      </c>
      <c r="E99" s="674" t="s">
        <v>1926</v>
      </c>
      <c r="F99" s="730" t="s">
        <v>299</v>
      </c>
      <c r="G99" s="391"/>
      <c r="H99" s="1036"/>
      <c r="I99" s="391" t="s">
        <v>1927</v>
      </c>
      <c r="J99" s="1036"/>
      <c r="K99" s="4615" t="s">
        <v>1927</v>
      </c>
      <c r="L99" s="4586"/>
      <c r="M99" s="4614" t="s">
        <v>1927</v>
      </c>
      <c r="N99" s="4586"/>
      <c r="O99" s="277" t="s">
        <v>1561</v>
      </c>
    </row>
    <row s="2599" customFormat="1" customHeight="1" ht="22.5">
      <c r="A100" s="2346"/>
      <c r="B100" s="519" t="s">
        <v>1743</v>
      </c>
      <c r="D100" s="673" t="s">
        <v>155</v>
      </c>
      <c r="E100" s="674" t="s">
        <v>1928</v>
      </c>
      <c r="F100" s="730" t="s">
        <v>299</v>
      </c>
      <c r="G100" s="391"/>
      <c r="H100" s="1036"/>
      <c r="I100" s="4616" t="s">
        <v>1929</v>
      </c>
      <c r="J100" s="1036"/>
      <c r="K100" s="4614" t="s">
        <v>1929</v>
      </c>
      <c r="L100" s="4586"/>
      <c r="M100" s="4614" t="s">
        <v>1929</v>
      </c>
      <c r="N100" s="4586"/>
      <c r="O100" s="277" t="s">
        <v>1561</v>
      </c>
    </row>
    <row s="2603" customFormat="1" customHeight="1" ht="11.25">
      <c r="A101" s="1046"/>
      <c r="B101" s="526"/>
      <c r="D101" s="1047"/>
      <c r="E101" s="1048"/>
      <c r="K101" s="4122"/>
      <c r="L101" s="4122"/>
      <c r="M101" s="4122"/>
      <c r="N101" s="4122"/>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J13:J14 L13:L14 N13:N14 J31:J32 L31:L32 N31:N32 K62 K63 K74 K75 K97 K98 K99 K100 M62 M63 M74 M75 M97 M98 M99 M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s>
  <hyperlinks>
    <hyperlink ref="I97" r:id="rId1" tooltip="Кликните по гиперссылке, чтобы перейти по ней или отредактировать её" xr:uid="{1B245414-A358-E1AA-60E5-B178563EB9C6}"/>
    <hyperlink ref="K97" r:id="rId2" tooltip="Кликните по гиперссылке, чтобы перейти по ней или отредактировать её" xr:uid="{0207158E-24E8-F889-BDC4-6985B153984E}"/>
    <hyperlink ref="M97" r:id="rId3" tooltip="Кликните по гиперссылке, чтобы перейти по ней или отредактировать её" xr:uid="{8ADC640A-D583-82F1-F3AC-8140122CD31E}"/>
    <hyperlink ref="I98" r:id="rId4" tooltip="Кликните по гиперссылке, чтобы перейти по ней или отредактировать её" xr:uid="{CA383D96-ADE3-F806-EE47-49336898D488}"/>
    <hyperlink ref="K98" r:id="rId5" tooltip="Кликните по гиперссылке, чтобы перейти по ней или отредактировать её" xr:uid="{3AF8900D-397B-8B85-A192-0371E03B8562}"/>
    <hyperlink ref="M98" r:id="rId6" tooltip="Кликните по гиперссылке, чтобы перейти по ней или отредактировать её" xr:uid="{4004B3CD-2CB2-E925-ED57-2531C2C3A447}"/>
    <hyperlink ref="I99" r:id="rId7" tooltip="Кликните по гиперссылке, чтобы перейти по ней или отредактировать её" xr:uid="{8AC9A3EF-DA29-586E-2FD5-64466F3447AB}"/>
    <hyperlink ref="K99" r:id="rId8" xr:uid="{C191D865-367F-3DD9-63BC-80100FAF8D82}"/>
    <hyperlink ref="M99" r:id="rId9" tooltip="Кликните по гиперссылке, чтобы перейти по ней или отредактировать её" xr:uid="{A6C25901-899E-3F36-3364-EA845521C3CC}"/>
    <hyperlink ref="I100" r:id="rId10" xr:uid="{485EAF88-3BC4-9458-DA07-42A2CBAC9B5B}"/>
    <hyperlink ref="K100" r:id="rId11" tooltip="Кликните по гиперссылке, чтобы перейти по ней или отредактировать её" xr:uid="{3F84B7A6-C5F3-0979-C7B8-FB8FCA05D8AF}"/>
    <hyperlink ref="M100" r:id="rId12" tooltip="Кликните по гиперссылке, чтобы перейти по ней или отредактировать её" xr:uid="{A319A6C2-1B01-4B28-3C1F-570409EE0D3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E9C224-1B52-8C39-7983-4B7228DE9FD5}" mc:Ignorable="x14ac xr xr2 xr3">
  <sheetPr>
    <tabColor theme="9" tint="-0.25"/>
  </sheetPr>
  <dimension ref="A1:AD17"/>
  <sheetViews>
    <sheetView topLeftCell="A1" showGridLines="0" zoomScale="85" workbookViewId="0">
      <selection activeCell="Y13" sqref="Y13:Y14"/>
    </sheetView>
  </sheetViews>
  <sheetFormatPr defaultColWidth="9.140625" customHeight="1" defaultRowHeight="10.5"/>
  <cols>
    <col min="1" max="3" style="4617" width="6.7109375" hidden="1" customWidth="1"/>
    <col min="4" max="4" style="2600" width="6.7109375" hidden="1" customWidth="1"/>
    <col min="5" max="5" style="2603" width="3.7109375" customWidth="1"/>
    <col min="6" max="6" style="2599" width="6.28125" customWidth="1"/>
    <col min="7" max="7" style="2599" width="37.7109375" customWidth="1"/>
    <col min="8" max="8" style="2876" width="16.57421875" customWidth="1"/>
    <col min="9" max="10" style="2599" width="19.7109375" customWidth="1"/>
    <col min="11" max="11" style="2599" width="25.00390625" customWidth="1"/>
    <col min="12" max="13" style="2599" width="25.7109375" customWidth="1"/>
    <col min="14" max="16" style="2599" width="17.7109375" customWidth="1"/>
    <col min="17" max="24" style="2599" width="19.7109375" customWidth="1"/>
    <col min="25" max="25" style="2599" width="8.00390625" customWidth="1"/>
    <col min="26" max="26" style="2599" width="3.28125" customWidth="1"/>
    <col min="27" max="27" style="2599" width="6.28125" customWidth="1"/>
    <col min="28" max="28" style="2599" width="34.140625" customWidth="1"/>
    <col min="29" max="30" style="2599" width="9.140625"/>
  </cols>
  <sheetData>
    <row s="2600" customFormat="1" customHeight="1" ht="10.5" hidden="1">
      <c r="A1" s="907"/>
      <c r="B1" s="907"/>
      <c r="C1" s="907"/>
      <c r="E1" s="545"/>
      <c r="H1" s="1174"/>
    </row>
    <row customHeight="1" ht="10.5" hidden="1"/>
    <row s="3034" customFormat="1" customHeight="1" ht="10.5" hidden="1">
      <c r="A3" s="907"/>
      <c r="B3" s="907"/>
      <c r="C3" s="907"/>
      <c r="D3" s="424"/>
      <c r="E3" s="360"/>
      <c r="H3" s="1170"/>
    </row>
    <row customHeight="1" ht="3"/>
    <row customHeight="1" ht="30">
      <c r="F5" s="2181" t="s">
        <v>1930</v>
      </c>
      <c r="G5" s="2181"/>
      <c r="H5" s="2181"/>
      <c r="I5" s="2181"/>
      <c r="J5" s="2181"/>
      <c r="K5" s="2181"/>
      <c r="M5" s="590"/>
      <c r="AB5" s="918"/>
    </row>
    <row s="2885" customFormat="1" customHeight="1" ht="15.75">
      <c r="A6" s="1180"/>
      <c r="B6" s="1180"/>
      <c r="C6" s="1180"/>
      <c r="D6" s="1174"/>
      <c r="E6" s="1681"/>
      <c r="F6" s="2182" t="str">
        <f>IF(org=0,"Не определено",org)</f>
        <v>МУП "Уссурийск-Водоканал"</v>
      </c>
      <c r="G6" s="2182"/>
      <c r="H6" s="2182"/>
      <c r="I6" s="2182"/>
      <c r="J6" s="2182"/>
      <c r="K6" s="2182"/>
      <c r="M6" s="590"/>
      <c r="AB6" s="1162"/>
    </row>
    <row r="8" customHeight="1" ht="10.5">
      <c r="A8" s="1064"/>
      <c r="B8" s="1064"/>
      <c r="C8" s="1064"/>
      <c r="F8" s="1940" t="s">
        <v>293</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88</v>
      </c>
      <c r="G9" s="1966" t="s">
        <v>1931</v>
      </c>
      <c r="H9" s="2012" t="s">
        <v>1932</v>
      </c>
      <c r="I9" s="1966" t="s">
        <v>1933</v>
      </c>
      <c r="J9" s="1966" t="s">
        <v>1934</v>
      </c>
      <c r="K9" s="1966" t="s">
        <v>1935</v>
      </c>
      <c r="L9" s="1966" t="s">
        <v>1936</v>
      </c>
      <c r="M9" s="1966" t="s">
        <v>1937</v>
      </c>
      <c r="N9" s="2047" t="s">
        <v>1938</v>
      </c>
      <c r="O9" s="2047"/>
      <c r="P9" s="2047"/>
      <c r="Q9" s="2349" t="s">
        <v>1939</v>
      </c>
      <c r="R9" s="2350"/>
      <c r="S9" s="2350"/>
      <c r="T9" s="2351"/>
      <c r="U9" s="2349" t="s">
        <v>1940</v>
      </c>
      <c r="V9" s="2350"/>
      <c r="W9" s="2350"/>
      <c r="X9" s="2351"/>
      <c r="Y9" s="1940" t="s">
        <v>1941</v>
      </c>
      <c r="Z9" s="1941"/>
      <c r="AA9" s="1941"/>
      <c r="AB9" s="1942"/>
    </row>
    <row customHeight="1" ht="41.25">
      <c r="A10" s="917"/>
      <c r="B10" s="917"/>
      <c r="C10" s="917"/>
      <c r="F10" s="2012"/>
      <c r="G10" s="2012"/>
      <c r="H10" s="2071"/>
      <c r="I10" s="2012"/>
      <c r="J10" s="2012"/>
      <c r="K10" s="2012"/>
      <c r="L10" s="2012"/>
      <c r="M10" s="2012"/>
      <c r="N10" s="915" t="s">
        <v>1942</v>
      </c>
      <c r="O10" s="915" t="s">
        <v>1943</v>
      </c>
      <c r="P10" s="916" t="s">
        <v>1944</v>
      </c>
      <c r="Q10" s="927" t="s">
        <v>89</v>
      </c>
      <c r="R10" s="927" t="s">
        <v>1945</v>
      </c>
      <c r="S10" s="927" t="s">
        <v>1946</v>
      </c>
      <c r="T10" s="928" t="s">
        <v>1947</v>
      </c>
      <c r="U10" s="927" t="s">
        <v>89</v>
      </c>
      <c r="V10" s="927" t="s">
        <v>1948</v>
      </c>
      <c r="W10" s="927" t="s">
        <v>1946</v>
      </c>
      <c r="X10" s="928" t="s">
        <v>1947</v>
      </c>
      <c r="Y10" s="289" t="s">
        <v>1949</v>
      </c>
      <c r="Z10" s="1940" t="s">
        <v>88</v>
      </c>
      <c r="AA10" s="1942"/>
      <c r="AB10" s="1062" t="s">
        <v>1950</v>
      </c>
    </row>
    <row s="2587" customFormat="1" customHeight="1" ht="5.25" hidden="1">
      <c r="A11" s="1065"/>
      <c r="B11" s="1065"/>
      <c r="C11" s="1065"/>
      <c r="E11" s="1063"/>
      <c r="F11" s="2078" t="s">
        <v>371</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1951</v>
      </c>
    </row>
    <row s="2587"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27">
      <c r="A13" s="1180"/>
      <c r="B13" s="1180"/>
      <c r="C13" s="1180"/>
      <c r="D13" s="1174"/>
      <c r="E13" s="4144" t="s">
        <v>121</v>
      </c>
      <c r="F13" s="2161" t="s">
        <v>109</v>
      </c>
      <c r="G13" s="2162" t="s">
        <v>1952</v>
      </c>
      <c r="H13" s="2163" t="s">
        <v>58</v>
      </c>
      <c r="I13" s="4635">
        <v>43403.46084490741</v>
      </c>
      <c r="J13" s="4636">
        <v>45188.45916666667</v>
      </c>
      <c r="K13" s="2167" t="s">
        <v>942</v>
      </c>
      <c r="L13" s="2121" t="s">
        <v>1953</v>
      </c>
      <c r="M13" s="2121" t="s">
        <v>1954</v>
      </c>
      <c r="N13" s="2122" t="s">
        <v>1955</v>
      </c>
      <c r="O13" s="2122" t="s">
        <v>1956</v>
      </c>
      <c r="P13" s="2123" t="str">
        <f>DATEDIF(DATEVALUE(N13),DATEVALUE(O13),"y")&amp;"г. "&amp;DATEDIF(DATEVALUE(N13),DATEVALUE(O13),"ym")&amp;"мес. "&amp;DATEVALUE(O13)-DATE(YEAR(DATEVALUE(O13)),MONTH(DATEVALUE(O13)),1)&amp;"дн. "</f>
        <v>4г. 11мес. 30дн. </v>
      </c>
      <c r="Q13" s="2118" t="s">
        <v>1957</v>
      </c>
      <c r="R13" s="2118" t="s">
        <v>1958</v>
      </c>
      <c r="S13" s="2118" t="s">
        <v>1959</v>
      </c>
      <c r="T13" s="4636">
        <v>43403.46265046296</v>
      </c>
      <c r="U13" s="2118" t="s">
        <v>1960</v>
      </c>
      <c r="V13" s="2118" t="s">
        <v>1958</v>
      </c>
      <c r="W13" s="2118" t="s">
        <v>1961</v>
      </c>
      <c r="X13" s="4636">
        <v>45188.4634375</v>
      </c>
      <c r="Y13" s="2116" t="s">
        <v>56</v>
      </c>
      <c r="Z13" s="1859"/>
      <c r="AA13" s="1843">
        <v>1</v>
      </c>
      <c r="AB13" s="4637" t="s">
        <v>18</v>
      </c>
      <c r="AC13" s="4122"/>
      <c r="AD13" s="1682" t="s">
        <v>1962</v>
      </c>
    </row>
    <row customHeight="1" ht="44.117647058823536">
      <c r="A14" s="1180"/>
      <c r="B14" s="1180"/>
      <c r="C14" s="1180"/>
      <c r="D14" s="1174"/>
      <c r="E14" s="960"/>
      <c r="F14" s="2161" t="s">
        <v>371</v>
      </c>
      <c r="G14" s="2162"/>
      <c r="H14" s="2164"/>
      <c r="I14" s="2166"/>
      <c r="J14" s="2120"/>
      <c r="K14" s="2167"/>
      <c r="L14" s="2121"/>
      <c r="M14" s="2121"/>
      <c r="N14" s="2122"/>
      <c r="O14" s="2122"/>
      <c r="P14" s="2123"/>
      <c r="Q14" s="2118"/>
      <c r="R14" s="2118"/>
      <c r="S14" s="2118"/>
      <c r="T14" s="2120"/>
      <c r="U14" s="2118"/>
      <c r="V14" s="2118"/>
      <c r="W14" s="2118"/>
      <c r="X14" s="2120"/>
      <c r="Y14" s="2117"/>
      <c r="Z14" s="343"/>
      <c r="AA14" s="580"/>
      <c r="AB14" s="660" t="s">
        <v>405</v>
      </c>
      <c r="AC14" s="4122"/>
      <c r="AD14" s="4122"/>
    </row>
    <row customHeight="1" ht="10.5">
      <c r="F15" s="914"/>
      <c r="G15" s="658" t="s">
        <v>1963</v>
      </c>
      <c r="H15" s="1182"/>
      <c r="I15" s="580"/>
      <c r="J15" s="580"/>
      <c r="K15" s="580"/>
      <c r="L15" s="580"/>
      <c r="M15" s="580"/>
      <c r="N15" s="580"/>
      <c r="O15" s="580"/>
      <c r="P15" s="580"/>
      <c r="Q15" s="580"/>
      <c r="R15" s="580"/>
      <c r="S15" s="580"/>
      <c r="T15" s="580"/>
      <c r="U15" s="580"/>
      <c r="V15" s="580"/>
      <c r="W15" s="580"/>
      <c r="X15" s="580"/>
      <c r="Y15" s="580"/>
      <c r="Z15" s="704"/>
      <c r="AA15" s="704"/>
      <c r="AB15" s="929"/>
    </row>
    <row r="17" s="2587" customFormat="1" customHeight="1" ht="10.5">
      <c r="A17" s="1181"/>
      <c r="B17" s="1181"/>
      <c r="C17" s="1181"/>
      <c r="E17" s="526"/>
      <c r="H17" s="519">
        <f>_xlfn.IFERROR(MATCH("нет",IP_MAIN_DIFFERENTIATION_EVENTS_FLAG,0),0)</f>
        <v>0</v>
      </c>
    </row>
  </sheetData>
  <sheetProtection formatColumns="0" formatRows="0" autoFilter="0" sort="0" insertRows="0" insertColumns="1" deleteRows="0" deleteColumns="0"/>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allowBlank="1" showInputMessage="1" showErrorMessage="1" promptTitle="Ввод" prompt="Для выбора ИП необходимо два раза нажать левую кнопку мыши!" sqref="G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U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AB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469A64-909A-1E32-F97F-AB330C6587D9}" mc:Ignorable="x14ac xr xr2 xr3">
  <sheetPr>
    <tabColor theme="9" tint="-0.25"/>
  </sheetPr>
  <dimension ref="A1:BF130"/>
  <sheetViews>
    <sheetView topLeftCell="A1" showGridLines="0" zoomScale="90" workbookViewId="0">
      <selection activeCell="AE51" sqref="AE51"/>
    </sheetView>
  </sheetViews>
  <sheetFormatPr defaultColWidth="9.140625" customHeight="1" defaultRowHeight="10.5"/>
  <cols>
    <col min="1" max="3" style="4617" width="4.140625" hidden="1" customWidth="1"/>
    <col min="4" max="4" style="2600" width="4.140625" hidden="1" customWidth="1"/>
    <col min="5" max="5" style="2603" width="3.7109375" customWidth="1"/>
    <col min="6" max="6" style="2599" width="14.421875" customWidth="1"/>
    <col min="7" max="7" style="2599" width="3.7109375" customWidth="1"/>
    <col min="8" max="8" style="2876" width="7.7109375" customWidth="1"/>
    <col min="9" max="10" style="2599" width="16.7109375" hidden="1" customWidth="1"/>
    <col min="11" max="11" style="2599" width="25.7109375" customWidth="1"/>
    <col min="12" max="12" style="4669" width="8.00390625" customWidth="1"/>
    <col min="13" max="13" style="4669" width="15.57421875" customWidth="1"/>
    <col min="14" max="14" style="2599" width="3.28125" customWidth="1"/>
    <col min="15" max="15" style="2599" width="4.7109375" customWidth="1"/>
    <col min="16" max="16" style="2599" width="9.00390625" customWidth="1"/>
    <col min="17" max="17" style="2599" width="21.7109375" customWidth="1"/>
    <col min="18" max="18" style="2599" width="14.7109375" customWidth="1"/>
    <col min="19" max="20" style="2599" width="17.7109375" customWidth="1"/>
    <col min="21" max="21" style="2599" width="9.7109375" customWidth="1"/>
    <col min="22" max="22" style="2599" width="12.7109375" customWidth="1"/>
    <col min="23" max="23" style="2599" width="9.7109375" customWidth="1"/>
    <col min="24" max="24" style="2599" width="21.7109375" customWidth="1"/>
    <col min="25" max="25" style="2599" width="12.7109375" customWidth="1"/>
    <col min="26" max="26" style="2599" width="3.28125" customWidth="1"/>
    <col min="27" max="27" style="2599" width="7.140625" customWidth="1"/>
    <col min="28" max="28" style="2599" width="38.421875" customWidth="1"/>
    <col min="29" max="29" style="2599" width="15.7109375" customWidth="1"/>
    <col min="30" max="30" style="4669" width="37.57421875" customWidth="1"/>
    <col min="31" max="31" style="2599" width="15.7109375" customWidth="1"/>
    <col min="32" max="33" style="2599" width="16.7109375" customWidth="1"/>
    <col min="34" max="34" style="4690" width="16.7109375" customWidth="1"/>
    <col min="35" max="35" style="4691" width="16.7109375" customWidth="1"/>
    <col min="36" max="37" style="2599" width="16.7109375" customWidth="1"/>
    <col min="38" max="58" style="2599" width="9.140625"/>
  </cols>
  <sheetData>
    <row s="2600" customFormat="1" customHeight="1" ht="10.5" hidden="1">
      <c r="A1" s="907"/>
      <c r="B1" s="907"/>
      <c r="C1" s="907"/>
      <c r="E1" s="545"/>
      <c r="H1" s="1174"/>
      <c r="L1" s="1142"/>
      <c r="M1" s="1142"/>
      <c r="AD1" s="1142"/>
      <c r="AH1" s="1161"/>
      <c r="AI1" s="1154"/>
    </row>
    <row customHeight="1" ht="10.5" hidden="1"/>
    <row s="3034" customFormat="1" customHeight="1" ht="10.5" hidden="1">
      <c r="A3" s="907"/>
      <c r="B3" s="907"/>
      <c r="C3" s="907"/>
      <c r="D3" s="424"/>
      <c r="E3" s="360"/>
      <c r="H3" s="1170"/>
      <c r="L3" s="1140"/>
      <c r="M3" s="1140"/>
      <c r="AD3" s="1140"/>
      <c r="AH3" s="1159"/>
      <c r="AI3" s="1152"/>
    </row>
    <row customHeight="1" ht="3"/>
    <row customHeight="1" ht="30">
      <c r="F5" s="2181" t="s">
        <v>1930</v>
      </c>
      <c r="G5" s="2181"/>
      <c r="H5" s="2181"/>
      <c r="I5" s="2181"/>
      <c r="J5" s="2181"/>
      <c r="K5" s="2181"/>
      <c r="L5" s="1149"/>
      <c r="M5" s="1149"/>
      <c r="AG5" s="918"/>
      <c r="AH5" s="1162"/>
    </row>
    <row customHeight="1" ht="10.5">
      <c r="F6" s="2049" t="str">
        <f>IF(org=0,"Не определено",org)</f>
        <v>МУП "Уссурийск-Водоканал"</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293</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1964</v>
      </c>
      <c r="G9" s="2357" t="s">
        <v>1965</v>
      </c>
      <c r="H9" s="2358"/>
      <c r="I9" s="1966" t="s">
        <v>1966</v>
      </c>
      <c r="J9" s="1966"/>
      <c r="K9" s="1966" t="s">
        <v>1967</v>
      </c>
      <c r="L9" s="1966"/>
      <c r="M9" s="1966"/>
      <c r="N9" s="1966"/>
      <c r="O9" s="1966"/>
      <c r="P9" s="1966"/>
      <c r="Q9" s="1966"/>
      <c r="R9" s="1966"/>
      <c r="S9" s="1966"/>
      <c r="T9" s="1966"/>
      <c r="U9" s="1966"/>
      <c r="V9" s="1966"/>
      <c r="W9" s="1966"/>
      <c r="X9" s="1966"/>
      <c r="Y9" s="1966"/>
      <c r="Z9" s="2029" t="s">
        <v>1968</v>
      </c>
      <c r="AA9" s="2030"/>
      <c r="AB9" s="1966" t="s">
        <v>1969</v>
      </c>
      <c r="AC9" s="1966"/>
      <c r="AD9" s="1966"/>
      <c r="AE9" s="1966"/>
      <c r="AF9" s="2012" t="s">
        <v>1970</v>
      </c>
      <c r="AG9" s="1966" t="s">
        <v>1971</v>
      </c>
      <c r="AH9" s="1966"/>
      <c r="AI9" s="2012" t="s">
        <v>1972</v>
      </c>
      <c r="AJ9" s="1966" t="s">
        <v>1973</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1974</v>
      </c>
      <c r="L10" s="1940" t="s">
        <v>1975</v>
      </c>
      <c r="M10" s="1942"/>
      <c r="N10" s="1966" t="s">
        <v>1976</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69" customFormat="1" customHeight="1" ht="23.25">
      <c r="A11" s="1143"/>
      <c r="B11" s="1143"/>
      <c r="C11" s="1143"/>
      <c r="D11" s="1142"/>
      <c r="E11" s="1144"/>
      <c r="F11" s="2356"/>
      <c r="G11" s="2359"/>
      <c r="H11" s="2360"/>
      <c r="I11" s="1966"/>
      <c r="J11" s="1966"/>
      <c r="K11" s="1966"/>
      <c r="L11" s="2012" t="s">
        <v>1977</v>
      </c>
      <c r="M11" s="2012" t="s">
        <v>1978</v>
      </c>
      <c r="N11" s="1966" t="s">
        <v>1979</v>
      </c>
      <c r="O11" s="1966"/>
      <c r="P11" s="2366" t="s">
        <v>1949</v>
      </c>
      <c r="Q11" s="2366" t="s">
        <v>1980</v>
      </c>
      <c r="R11" s="2366" t="s">
        <v>1981</v>
      </c>
      <c r="S11" s="2366" t="s">
        <v>1982</v>
      </c>
      <c r="T11" s="2366"/>
      <c r="U11" s="2366"/>
      <c r="V11" s="2366"/>
      <c r="W11" s="2366"/>
      <c r="X11" s="2366"/>
      <c r="Y11" s="2366"/>
      <c r="Z11" s="2031"/>
      <c r="AA11" s="2032"/>
      <c r="AB11" s="1966" t="s">
        <v>1983</v>
      </c>
      <c r="AC11" s="1966"/>
      <c r="AD11" s="1940" t="s">
        <v>1984</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89</v>
      </c>
      <c r="J12" s="1167" t="s">
        <v>1985</v>
      </c>
      <c r="K12" s="1966"/>
      <c r="L12" s="2071"/>
      <c r="M12" s="2071"/>
      <c r="N12" s="1966"/>
      <c r="O12" s="1966"/>
      <c r="P12" s="2366"/>
      <c r="Q12" s="2366"/>
      <c r="R12" s="2366"/>
      <c r="S12" s="1148" t="s">
        <v>86</v>
      </c>
      <c r="T12" s="1148" t="s">
        <v>87</v>
      </c>
      <c r="U12" s="1148" t="s">
        <v>85</v>
      </c>
      <c r="V12" s="1148" t="s">
        <v>1986</v>
      </c>
      <c r="W12" s="1148" t="s">
        <v>85</v>
      </c>
      <c r="X12" s="1148" t="s">
        <v>1987</v>
      </c>
      <c r="Y12" s="1148" t="s">
        <v>1988</v>
      </c>
      <c r="Z12" s="2037"/>
      <c r="AA12" s="2038"/>
      <c r="AB12" s="1155" t="s">
        <v>1989</v>
      </c>
      <c r="AC12" s="1155" t="s">
        <v>1990</v>
      </c>
      <c r="AD12" s="1155" t="s">
        <v>1989</v>
      </c>
      <c r="AE12" s="1155" t="s">
        <v>1990</v>
      </c>
      <c r="AF12" s="2071"/>
      <c r="AG12" s="1168" t="s">
        <v>1991</v>
      </c>
      <c r="AH12" s="1168" t="s">
        <v>1992</v>
      </c>
      <c r="AI12" s="2071"/>
      <c r="AJ12" s="1168" t="s">
        <v>1991</v>
      </c>
      <c r="AK12" s="1168" t="s">
        <v>1992</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19.999999999999996">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21">
      <c r="A14" s="1181" t="s">
        <v>1962</v>
      </c>
      <c r="B14" s="1180"/>
      <c r="C14" s="1180"/>
      <c r="D14" s="1174"/>
      <c r="E14" s="1184" t="s">
        <v>18</v>
      </c>
      <c r="F14" s="1136" t="str">
        <f>INDEX(IP_MAIN_LIST_NAME_IP,MATCH(A14,IP_MAIN_LIST_IP_ID,0))&amp;" ("&amp;INDEX(IP_MAIN_START_DATE,MATCH(A14,IP_MAIN_LIST_IP_ID,0))&amp;"-"&amp;INDEX(IP_MAIN_END_DATE,MATCH(A14,IP_MAIN_LIST_IP_ID,0))&amp;")"</f>
        <v>Инвестиционная программа № пр. 19-150/2 от 30.10.2018 МУП "Уссурийск-Водоканал" в сфере водоснабжения и водоотведения по модернизации и реконструкции объектов, на территории городского округа Уссурийский на 2019-2023 годы (01.01.2019-31.12.2023)</v>
      </c>
      <c r="G14" s="1137"/>
      <c r="H14" s="1137"/>
      <c r="I14" s="1201"/>
      <c r="J14" s="1201"/>
      <c r="K14" s="1202"/>
      <c r="L14" s="1202"/>
      <c r="M14" s="1202"/>
      <c r="N14" s="1203"/>
      <c r="O14" s="1203"/>
      <c r="P14" s="1203"/>
      <c r="Q14" s="1203"/>
      <c r="R14" s="1203"/>
      <c r="S14" s="1203"/>
      <c r="T14" s="1203"/>
      <c r="U14" s="1203"/>
      <c r="V14" s="1203"/>
      <c r="W14" s="1203"/>
      <c r="X14" s="1203"/>
      <c r="Y14" s="1203"/>
      <c r="Z14" s="1203"/>
      <c r="AA14" s="1203"/>
      <c r="AB14" s="1203"/>
      <c r="AC14" s="1203"/>
      <c r="AD14" s="1203"/>
      <c r="AE14" s="1204"/>
      <c r="AF14" s="1202"/>
      <c r="AG14" s="1202"/>
      <c r="AH14" s="1202"/>
      <c r="AI14" s="1202"/>
      <c r="AJ14" s="1202"/>
      <c r="AK14" s="1202"/>
      <c r="AL14" s="1185"/>
      <c r="AM14" s="1874"/>
      <c r="AN14" s="1874"/>
      <c r="AO14" s="1874"/>
      <c r="AP14" s="1874"/>
      <c r="AQ14" s="1874"/>
      <c r="AR14" s="1874"/>
      <c r="AS14" s="1874"/>
      <c r="AT14" s="1874"/>
      <c r="AU14" s="1874"/>
      <c r="AV14" s="1874"/>
      <c r="AW14" s="1874"/>
      <c r="AX14" s="1874"/>
      <c r="AY14" s="1874"/>
      <c r="AZ14" s="1874"/>
      <c r="BA14" s="1874"/>
      <c r="BB14" s="1874"/>
      <c r="BC14" s="1874"/>
      <c r="BD14" s="1874"/>
      <c r="BE14" s="1874"/>
      <c r="BF14" s="1874"/>
    </row>
    <row customHeight="1" ht="11.25">
      <c r="A15" s="1180" t="s">
        <v>1962</v>
      </c>
      <c r="B15" s="1180"/>
      <c r="C15" s="1180"/>
      <c r="D15" s="1174"/>
      <c r="E15" s="1184"/>
      <c r="F15" s="2114">
        <v>2019</v>
      </c>
      <c r="G15" s="2094"/>
      <c r="H15" s="2094" t="s">
        <v>109</v>
      </c>
      <c r="I15" s="2095"/>
      <c r="J15" s="2096"/>
      <c r="K15" s="2097" t="s">
        <v>1993</v>
      </c>
      <c r="L15" s="2086" t="s">
        <v>56</v>
      </c>
      <c r="M15" s="1947"/>
      <c r="N15" s="1193"/>
      <c r="O15" s="1192" t="s">
        <v>371</v>
      </c>
      <c r="P15" s="1193"/>
      <c r="Q15" s="1193"/>
      <c r="R15" s="1193"/>
      <c r="S15" s="1193"/>
      <c r="T15" s="1193"/>
      <c r="U15" s="1193"/>
      <c r="V15" s="1193"/>
      <c r="W15" s="1193"/>
      <c r="X15" s="1193"/>
      <c r="Y15" s="1193"/>
      <c r="Z15" s="1193"/>
      <c r="AA15" s="1193"/>
      <c r="AB15" s="1193"/>
      <c r="AC15" s="1193"/>
      <c r="AD15" s="1193"/>
      <c r="AE15" s="1193"/>
      <c r="AF15" s="2085">
        <v>2021</v>
      </c>
      <c r="AG15" s="2086" t="s">
        <v>835</v>
      </c>
      <c r="AH15" s="2086" t="s">
        <v>1994</v>
      </c>
      <c r="AI15" s="2085">
        <v>2021</v>
      </c>
      <c r="AJ15" s="2086" t="s">
        <v>835</v>
      </c>
      <c r="AK15" s="2086" t="s">
        <v>1994</v>
      </c>
      <c r="AL15" s="1187"/>
      <c r="AM15" s="1874"/>
      <c r="AN15" s="1874"/>
      <c r="AO15" s="1874"/>
      <c r="AP15" s="1874"/>
      <c r="AQ15" s="1874"/>
      <c r="AR15" s="1874"/>
      <c r="AS15" s="1874"/>
      <c r="AT15" s="1874"/>
      <c r="AU15" s="1874"/>
      <c r="AV15" s="1874"/>
      <c r="AW15" s="1874"/>
      <c r="AX15" s="1874"/>
      <c r="AY15" s="1874"/>
      <c r="AZ15" s="1874"/>
      <c r="BA15" s="1874"/>
      <c r="BB15" s="1874"/>
      <c r="BC15" s="1874"/>
      <c r="BD15" s="1874"/>
      <c r="BE15" s="1874"/>
      <c r="BF15" s="1874"/>
    </row>
    <row customHeight="1" ht="11.25">
      <c r="A16" s="1180" t="s">
        <v>1962</v>
      </c>
      <c r="B16" s="1180"/>
      <c r="C16" s="1180"/>
      <c r="D16" s="1174"/>
      <c r="E16" s="1184"/>
      <c r="F16" s="2114"/>
      <c r="G16" s="2094"/>
      <c r="H16" s="2094"/>
      <c r="I16" s="2095"/>
      <c r="J16" s="2096"/>
      <c r="K16" s="2097"/>
      <c r="L16" s="2086"/>
      <c r="M16" s="1947"/>
      <c r="N16" s="2087"/>
      <c r="O16" s="2088">
        <v>1</v>
      </c>
      <c r="P16" s="2089" t="s">
        <v>56</v>
      </c>
      <c r="Q16" s="2092" t="s">
        <v>18</v>
      </c>
      <c r="R16" s="2092" t="s">
        <v>18</v>
      </c>
      <c r="S16" s="2092" t="s">
        <v>18</v>
      </c>
      <c r="T16" s="2092" t="s">
        <v>18</v>
      </c>
      <c r="U16" s="2092" t="s">
        <v>18</v>
      </c>
      <c r="V16" s="2092" t="s">
        <v>18</v>
      </c>
      <c r="W16" s="2092" t="s">
        <v>18</v>
      </c>
      <c r="X16" s="2092" t="s">
        <v>18</v>
      </c>
      <c r="Y16" s="2092"/>
      <c r="Z16" s="1190"/>
      <c r="AA16" s="1191"/>
      <c r="AB16" s="1191"/>
      <c r="AC16" s="1195"/>
      <c r="AD16" s="1195"/>
      <c r="AE16" s="1196"/>
      <c r="AF16" s="2085"/>
      <c r="AG16" s="2086"/>
      <c r="AH16" s="2086"/>
      <c r="AI16" s="2085"/>
      <c r="AJ16" s="2086"/>
      <c r="AK16" s="2086"/>
      <c r="AL16" s="1187"/>
      <c r="AM16" s="1874"/>
      <c r="AN16" s="1874"/>
      <c r="AO16" s="1874"/>
      <c r="AP16" s="1874"/>
      <c r="AQ16" s="1874"/>
      <c r="AR16" s="1874"/>
      <c r="AS16" s="1874"/>
      <c r="AT16" s="1874"/>
      <c r="AU16" s="1874"/>
      <c r="AV16" s="1874"/>
      <c r="AW16" s="1874"/>
      <c r="AX16" s="1874"/>
      <c r="AY16" s="1874"/>
      <c r="AZ16" s="1874"/>
      <c r="BA16" s="1874"/>
      <c r="BB16" s="1874"/>
      <c r="BC16" s="1874"/>
      <c r="BD16" s="1874"/>
      <c r="BE16" s="1874"/>
      <c r="BF16" s="1874"/>
    </row>
    <row customHeight="1" ht="11.25">
      <c r="A17" s="1180" t="s">
        <v>1962</v>
      </c>
      <c r="B17" s="1180"/>
      <c r="C17" s="1180"/>
      <c r="D17" s="1174"/>
      <c r="E17" s="1184"/>
      <c r="F17" s="2114"/>
      <c r="G17" s="2094"/>
      <c r="H17" s="2094"/>
      <c r="I17" s="2095"/>
      <c r="J17" s="2096"/>
      <c r="K17" s="2097"/>
      <c r="L17" s="2086"/>
      <c r="M17" s="1947"/>
      <c r="N17" s="2087"/>
      <c r="O17" s="2088"/>
      <c r="P17" s="2090"/>
      <c r="Q17" s="2092"/>
      <c r="R17" s="2092"/>
      <c r="S17" s="2093"/>
      <c r="T17" s="2092"/>
      <c r="U17" s="2092"/>
      <c r="V17" s="2092"/>
      <c r="W17" s="2092"/>
      <c r="X17" s="2092"/>
      <c r="Y17" s="2092"/>
      <c r="Z17" s="1880"/>
      <c r="AA17" s="1845">
        <v>1</v>
      </c>
      <c r="AB17" s="1194" t="s">
        <v>804</v>
      </c>
      <c r="AC17" s="1183">
        <v>1909.69</v>
      </c>
      <c r="AD17" s="1194" t="str">
        <f>AB17</f>
        <v>     Прочие амортизационные отчисления</v>
      </c>
      <c r="AE17" s="1183">
        <v>1909.69</v>
      </c>
      <c r="AF17" s="2085"/>
      <c r="AG17" s="2086"/>
      <c r="AH17" s="2086"/>
      <c r="AI17" s="2085"/>
      <c r="AJ17" s="2086"/>
      <c r="AK17" s="2086"/>
      <c r="AL17" s="1187"/>
      <c r="AM17" s="1874"/>
      <c r="AN17" s="1874"/>
      <c r="AO17" s="1874"/>
      <c r="AP17" s="1874"/>
      <c r="AQ17" s="1874"/>
      <c r="AR17" s="1874"/>
      <c r="AS17" s="1874"/>
      <c r="AT17" s="1874"/>
      <c r="AU17" s="1874"/>
      <c r="AV17" s="1874"/>
      <c r="AW17" s="1874"/>
      <c r="AX17" s="1874"/>
      <c r="AY17" s="1874"/>
      <c r="AZ17" s="1874"/>
      <c r="BA17" s="1874"/>
      <c r="BB17" s="1874"/>
      <c r="BC17" s="1874"/>
      <c r="BD17" s="1874"/>
      <c r="BE17" s="1874"/>
      <c r="BF17" s="1874"/>
    </row>
    <row customHeight="1" ht="11.25">
      <c r="A18" s="1180" t="s">
        <v>1962</v>
      </c>
      <c r="B18" s="1180"/>
      <c r="C18" s="1180"/>
      <c r="D18" s="1174"/>
      <c r="E18" s="1184"/>
      <c r="F18" s="1882"/>
      <c r="G18" s="1882"/>
      <c r="H18" s="1882"/>
      <c r="I18" s="1882"/>
      <c r="J18" s="1882"/>
      <c r="K18" s="1882"/>
      <c r="L18" s="1882"/>
      <c r="M18" s="1882"/>
      <c r="N18" s="1882"/>
      <c r="O18" s="1882"/>
      <c r="P18" s="1882"/>
      <c r="Q18" s="1882"/>
      <c r="R18" s="1882"/>
      <c r="S18" s="1882"/>
      <c r="T18" s="1882"/>
      <c r="U18" s="1882"/>
      <c r="V18" s="1882"/>
      <c r="W18" s="1882"/>
      <c r="X18" s="1882"/>
      <c r="Y18" s="1882"/>
      <c r="Z18" s="4144" t="s">
        <v>121</v>
      </c>
      <c r="AA18" s="1865" t="s">
        <v>110</v>
      </c>
      <c r="AB18" s="1194" t="s">
        <v>741</v>
      </c>
      <c r="AC18" s="1183">
        <v>1174.1</v>
      </c>
      <c r="AD18" s="1194" t="str">
        <f>AB18</f>
        <v>  Капитальные вложения (инвестиции), финансируемые за счет нормативной прибыли, учитываемой в необходимой валовой выручке</v>
      </c>
      <c r="AE18" s="1183">
        <v>1174.1</v>
      </c>
      <c r="AF18" s="1883"/>
      <c r="AG18" s="1805"/>
      <c r="AH18" s="1805"/>
      <c r="AI18" s="1883"/>
      <c r="AJ18" s="1805"/>
      <c r="AK18" s="1805"/>
      <c r="AL18" s="1187"/>
      <c r="AM18" s="1874"/>
      <c r="AN18" s="1874"/>
      <c r="AO18" s="1874"/>
      <c r="AP18" s="1874"/>
      <c r="AQ18" s="1874"/>
      <c r="AR18" s="1874"/>
      <c r="AS18" s="1874"/>
      <c r="AT18" s="1874"/>
      <c r="AU18" s="1874"/>
      <c r="AV18" s="1874"/>
      <c r="AW18" s="1874"/>
      <c r="AX18" s="1874"/>
      <c r="AY18" s="1874"/>
      <c r="AZ18" s="1874"/>
      <c r="BA18" s="1874"/>
      <c r="BB18" s="1874"/>
      <c r="BC18" s="1874"/>
      <c r="BD18" s="1874"/>
      <c r="BE18" s="1874"/>
      <c r="BF18" s="1874"/>
    </row>
    <row customHeight="1" ht="11.25">
      <c r="A19" s="1180" t="s">
        <v>1962</v>
      </c>
      <c r="B19" s="1180"/>
      <c r="C19" s="1180"/>
      <c r="D19" s="1174"/>
      <c r="E19" s="1184"/>
      <c r="F19" s="2114"/>
      <c r="G19" s="2094"/>
      <c r="H19" s="2094"/>
      <c r="I19" s="2095"/>
      <c r="J19" s="2096"/>
      <c r="K19" s="2097"/>
      <c r="L19" s="2086"/>
      <c r="M19" s="1947"/>
      <c r="N19" s="2087"/>
      <c r="O19" s="2088"/>
      <c r="P19" s="2091"/>
      <c r="Q19" s="2092"/>
      <c r="R19" s="2092"/>
      <c r="S19" s="2093"/>
      <c r="T19" s="2092"/>
      <c r="U19" s="2092"/>
      <c r="V19" s="2092"/>
      <c r="W19" s="2092"/>
      <c r="X19" s="2092"/>
      <c r="Y19" s="2092"/>
      <c r="Z19" s="1190"/>
      <c r="AA19" s="1191"/>
      <c r="AB19" s="1265" t="s">
        <v>408</v>
      </c>
      <c r="AC19" s="1195"/>
      <c r="AD19" s="1195"/>
      <c r="AE19" s="1197"/>
      <c r="AF19" s="2085"/>
      <c r="AG19" s="2086"/>
      <c r="AH19" s="2086"/>
      <c r="AI19" s="2085"/>
      <c r="AJ19" s="2086"/>
      <c r="AK19" s="2086"/>
      <c r="AL19" s="1187"/>
      <c r="AM19" s="1874"/>
      <c r="AN19" s="1874"/>
      <c r="AO19" s="1874"/>
      <c r="AP19" s="1874"/>
      <c r="AQ19" s="1874"/>
      <c r="AR19" s="1874"/>
      <c r="AS19" s="1874"/>
      <c r="AT19" s="1874"/>
      <c r="AU19" s="1874"/>
      <c r="AV19" s="1874"/>
      <c r="AW19" s="1874"/>
      <c r="AX19" s="1874"/>
      <c r="AY19" s="1874"/>
      <c r="AZ19" s="1874"/>
      <c r="BA19" s="1874"/>
      <c r="BB19" s="1874"/>
      <c r="BC19" s="1874"/>
      <c r="BD19" s="1874"/>
      <c r="BE19" s="1874"/>
      <c r="BF19" s="1874"/>
    </row>
    <row customHeight="1" ht="11.25">
      <c r="A20" s="1180" t="s">
        <v>1962</v>
      </c>
      <c r="B20" s="1180"/>
      <c r="C20" s="1180"/>
      <c r="D20" s="1174"/>
      <c r="E20" s="1184"/>
      <c r="F20" s="2114"/>
      <c r="G20" s="2094"/>
      <c r="H20" s="2094"/>
      <c r="I20" s="2095"/>
      <c r="J20" s="2096"/>
      <c r="K20" s="2097"/>
      <c r="L20" s="2086"/>
      <c r="M20" s="1947"/>
      <c r="N20" s="1191"/>
      <c r="O20" s="1191"/>
      <c r="P20" s="1182" t="s">
        <v>409</v>
      </c>
      <c r="Q20" s="1191"/>
      <c r="R20" s="1191"/>
      <c r="S20" s="1191"/>
      <c r="T20" s="1191"/>
      <c r="U20" s="1191"/>
      <c r="V20" s="1191"/>
      <c r="W20" s="1191"/>
      <c r="X20" s="1191"/>
      <c r="Y20" s="1191"/>
      <c r="Z20" s="1191"/>
      <c r="AA20" s="1191"/>
      <c r="AB20" s="1191"/>
      <c r="AC20" s="1191"/>
      <c r="AD20" s="1191"/>
      <c r="AE20" s="1198"/>
      <c r="AF20" s="2085"/>
      <c r="AG20" s="2086"/>
      <c r="AH20" s="2086"/>
      <c r="AI20" s="2085"/>
      <c r="AJ20" s="2086"/>
      <c r="AK20" s="2086"/>
      <c r="AL20" s="1187"/>
      <c r="AM20" s="1874"/>
      <c r="AN20" s="1874"/>
      <c r="AO20" s="1874"/>
      <c r="AP20" s="1874"/>
      <c r="AQ20" s="1874"/>
      <c r="AR20" s="1874"/>
      <c r="AS20" s="1874"/>
      <c r="AT20" s="1874"/>
      <c r="AU20" s="1874"/>
      <c r="AV20" s="1874"/>
      <c r="AW20" s="1874"/>
      <c r="AX20" s="1874"/>
      <c r="AY20" s="1874"/>
      <c r="AZ20" s="1874"/>
      <c r="BA20" s="1874"/>
      <c r="BB20" s="1874"/>
      <c r="BC20" s="1874"/>
      <c r="BD20" s="1874"/>
      <c r="BE20" s="1874"/>
      <c r="BF20" s="1874"/>
    </row>
    <row customHeight="1" ht="11.25">
      <c r="A21" s="1180" t="s">
        <v>1962</v>
      </c>
      <c r="B21" s="1180"/>
      <c r="C21" s="1180"/>
      <c r="D21" s="1174"/>
      <c r="E21" s="1184"/>
      <c r="F21" s="1881"/>
      <c r="G21" s="4144" t="s">
        <v>121</v>
      </c>
      <c r="H21" s="2094" t="s">
        <v>110</v>
      </c>
      <c r="I21" s="2095"/>
      <c r="J21" s="2096"/>
      <c r="K21" s="2097" t="s">
        <v>1995</v>
      </c>
      <c r="L21" s="2086" t="s">
        <v>56</v>
      </c>
      <c r="M21" s="1947"/>
      <c r="N21" s="1193"/>
      <c r="O21" s="1192" t="s">
        <v>371</v>
      </c>
      <c r="P21" s="1193"/>
      <c r="Q21" s="1193"/>
      <c r="R21" s="1193"/>
      <c r="S21" s="1193"/>
      <c r="T21" s="1193"/>
      <c r="U21" s="1193"/>
      <c r="V21" s="1193"/>
      <c r="W21" s="1193"/>
      <c r="X21" s="1193"/>
      <c r="Y21" s="1193"/>
      <c r="Z21" s="1193"/>
      <c r="AA21" s="1193"/>
      <c r="AB21" s="1193"/>
      <c r="AC21" s="1193"/>
      <c r="AD21" s="1193"/>
      <c r="AE21" s="1193"/>
      <c r="AF21" s="2085">
        <v>2023</v>
      </c>
      <c r="AG21" s="2086" t="s">
        <v>835</v>
      </c>
      <c r="AH21" s="2086" t="s">
        <v>1996</v>
      </c>
      <c r="AI21" s="2085">
        <v>2023</v>
      </c>
      <c r="AJ21" s="2086" t="s">
        <v>835</v>
      </c>
      <c r="AK21" s="2086" t="s">
        <v>1996</v>
      </c>
      <c r="AL21" s="1187"/>
      <c r="AM21" s="1874"/>
      <c r="AN21" s="1874"/>
      <c r="AO21" s="1874"/>
      <c r="AP21" s="1874"/>
      <c r="AQ21" s="1874"/>
      <c r="AR21" s="1874"/>
      <c r="AS21" s="1874"/>
      <c r="AT21" s="1874"/>
      <c r="AU21" s="1874"/>
      <c r="AV21" s="1874"/>
      <c r="AW21" s="1874"/>
      <c r="AX21" s="1874"/>
      <c r="AY21" s="1874"/>
      <c r="AZ21" s="1874"/>
      <c r="BA21" s="1874"/>
      <c r="BB21" s="1874"/>
      <c r="BC21" s="1874"/>
      <c r="BD21" s="1874"/>
      <c r="BE21" s="1874"/>
      <c r="BF21" s="1874"/>
    </row>
    <row customHeight="1" ht="11.25">
      <c r="A22" s="1180" t="s">
        <v>1962</v>
      </c>
      <c r="B22" s="1180"/>
      <c r="C22" s="1180"/>
      <c r="D22" s="1174"/>
      <c r="E22" s="1184"/>
      <c r="F22" s="1881"/>
      <c r="G22" s="1882"/>
      <c r="H22" s="2094" t="s">
        <v>109</v>
      </c>
      <c r="I22" s="2095"/>
      <c r="J22" s="2096"/>
      <c r="K22" s="2097"/>
      <c r="L22" s="2086"/>
      <c r="M22" s="1947"/>
      <c r="N22" s="2087"/>
      <c r="O22" s="2088">
        <v>1</v>
      </c>
      <c r="P22" s="2089" t="s">
        <v>56</v>
      </c>
      <c r="Q22" s="2092" t="s">
        <v>18</v>
      </c>
      <c r="R22" s="2092" t="s">
        <v>18</v>
      </c>
      <c r="S22" s="2092" t="s">
        <v>18</v>
      </c>
      <c r="T22" s="2092" t="s">
        <v>18</v>
      </c>
      <c r="U22" s="2092" t="s">
        <v>18</v>
      </c>
      <c r="V22" s="2092" t="s">
        <v>18</v>
      </c>
      <c r="W22" s="2092" t="s">
        <v>18</v>
      </c>
      <c r="X22" s="2092" t="s">
        <v>18</v>
      </c>
      <c r="Y22" s="2092"/>
      <c r="Z22" s="1190"/>
      <c r="AA22" s="1191"/>
      <c r="AB22" s="1191"/>
      <c r="AC22" s="1195"/>
      <c r="AD22" s="1195"/>
      <c r="AE22" s="1196"/>
      <c r="AF22" s="2085"/>
      <c r="AG22" s="2086"/>
      <c r="AH22" s="2086"/>
      <c r="AI22" s="2085"/>
      <c r="AJ22" s="2086"/>
      <c r="AK22" s="2086"/>
      <c r="AL22" s="1187"/>
      <c r="AM22" s="1874"/>
      <c r="AN22" s="1874"/>
      <c r="AO22" s="1874"/>
      <c r="AP22" s="1874"/>
      <c r="AQ22" s="1874"/>
      <c r="AR22" s="1874"/>
      <c r="AS22" s="1874"/>
      <c r="AT22" s="1874"/>
      <c r="AU22" s="1874"/>
      <c r="AV22" s="1874"/>
      <c r="AW22" s="1874"/>
      <c r="AX22" s="1874"/>
      <c r="AY22" s="1874"/>
      <c r="AZ22" s="1874"/>
      <c r="BA22" s="1874"/>
      <c r="BB22" s="1874"/>
      <c r="BC22" s="1874"/>
      <c r="BD22" s="1874"/>
      <c r="BE22" s="1874"/>
      <c r="BF22" s="1874"/>
    </row>
    <row customHeight="1" ht="11.25">
      <c r="A23" s="1180" t="s">
        <v>1962</v>
      </c>
      <c r="B23" s="1180"/>
      <c r="C23" s="1180"/>
      <c r="D23" s="1174"/>
      <c r="E23" s="1184"/>
      <c r="F23" s="1881"/>
      <c r="G23" s="1882"/>
      <c r="H23" s="2094" t="s">
        <v>109</v>
      </c>
      <c r="I23" s="2095"/>
      <c r="J23" s="2096"/>
      <c r="K23" s="2097"/>
      <c r="L23" s="2086"/>
      <c r="M23" s="1947"/>
      <c r="N23" s="2087"/>
      <c r="O23" s="2088"/>
      <c r="P23" s="2090"/>
      <c r="Q23" s="2092"/>
      <c r="R23" s="2092"/>
      <c r="S23" s="2093"/>
      <c r="T23" s="2092"/>
      <c r="U23" s="2092"/>
      <c r="V23" s="2092"/>
      <c r="W23" s="2092"/>
      <c r="X23" s="2092"/>
      <c r="Y23" s="2092"/>
      <c r="Z23" s="1880"/>
      <c r="AA23" s="1845">
        <v>1</v>
      </c>
      <c r="AB23" s="1194" t="s">
        <v>804</v>
      </c>
      <c r="AC23" s="1183">
        <v>351.51</v>
      </c>
      <c r="AD23" s="1194" t="str">
        <f>AB23</f>
        <v>     Прочие амортизационные отчисления</v>
      </c>
      <c r="AE23" s="1183">
        <v>351.51</v>
      </c>
      <c r="AF23" s="2085"/>
      <c r="AG23" s="2086"/>
      <c r="AH23" s="2086"/>
      <c r="AI23" s="2085"/>
      <c r="AJ23" s="2086"/>
      <c r="AK23" s="2086"/>
      <c r="AL23" s="1187"/>
      <c r="AM23" s="1874"/>
      <c r="AN23" s="1874"/>
      <c r="AO23" s="1874"/>
      <c r="AP23" s="1874"/>
      <c r="AQ23" s="1874"/>
      <c r="AR23" s="1874"/>
      <c r="AS23" s="1874"/>
      <c r="AT23" s="1874"/>
      <c r="AU23" s="1874"/>
      <c r="AV23" s="1874"/>
      <c r="AW23" s="1874"/>
      <c r="AX23" s="1874"/>
      <c r="AY23" s="1874"/>
      <c r="AZ23" s="1874"/>
      <c r="BA23" s="1874"/>
      <c r="BB23" s="1874"/>
      <c r="BC23" s="1874"/>
      <c r="BD23" s="1874"/>
      <c r="BE23" s="1874"/>
      <c r="BF23" s="1874"/>
    </row>
    <row customHeight="1" ht="11.25">
      <c r="A24" s="1180" t="s">
        <v>1962</v>
      </c>
      <c r="B24" s="1180"/>
      <c r="C24" s="1180"/>
      <c r="D24" s="1174"/>
      <c r="E24" s="1184"/>
      <c r="F24" s="1882"/>
      <c r="G24" s="1882"/>
      <c r="H24" s="1882"/>
      <c r="I24" s="1882"/>
      <c r="J24" s="1882"/>
      <c r="K24" s="1882"/>
      <c r="L24" s="1882"/>
      <c r="M24" s="1882"/>
      <c r="N24" s="1882"/>
      <c r="O24" s="1882"/>
      <c r="P24" s="1882"/>
      <c r="Q24" s="1882"/>
      <c r="R24" s="1882"/>
      <c r="S24" s="1882"/>
      <c r="T24" s="1882"/>
      <c r="U24" s="1882"/>
      <c r="V24" s="1882"/>
      <c r="W24" s="1882"/>
      <c r="X24" s="1882"/>
      <c r="Y24" s="1882"/>
      <c r="Z24" s="4144" t="s">
        <v>121</v>
      </c>
      <c r="AA24" s="1865" t="s">
        <v>110</v>
      </c>
      <c r="AB24" s="1194" t="s">
        <v>741</v>
      </c>
      <c r="AC24" s="1183">
        <v>304.96</v>
      </c>
      <c r="AD24" s="1194" t="str">
        <f>AB24</f>
        <v>  Капитальные вложения (инвестиции), финансируемые за счет нормативной прибыли, учитываемой в необходимой валовой выручке</v>
      </c>
      <c r="AE24" s="1183">
        <v>304.96</v>
      </c>
      <c r="AF24" s="1883"/>
      <c r="AG24" s="1805"/>
      <c r="AH24" s="1805"/>
      <c r="AI24" s="1883"/>
      <c r="AJ24" s="1805"/>
      <c r="AK24" s="1805"/>
      <c r="AL24" s="1187"/>
      <c r="AM24" s="1874"/>
      <c r="AN24" s="1874"/>
      <c r="AO24" s="1874"/>
      <c r="AP24" s="1874"/>
      <c r="AQ24" s="1874"/>
      <c r="AR24" s="1874"/>
      <c r="AS24" s="1874"/>
      <c r="AT24" s="1874"/>
      <c r="AU24" s="1874"/>
      <c r="AV24" s="1874"/>
      <c r="AW24" s="1874"/>
      <c r="AX24" s="1874"/>
      <c r="AY24" s="1874"/>
      <c r="AZ24" s="1874"/>
      <c r="BA24" s="1874"/>
      <c r="BB24" s="1874"/>
      <c r="BC24" s="1874"/>
      <c r="BD24" s="1874"/>
      <c r="BE24" s="1874"/>
      <c r="BF24" s="1874"/>
    </row>
    <row customHeight="1" ht="11.25">
      <c r="A25" s="1180" t="s">
        <v>1962</v>
      </c>
      <c r="B25" s="1180"/>
      <c r="C25" s="1180"/>
      <c r="D25" s="1174"/>
      <c r="E25" s="1184"/>
      <c r="F25" s="1881"/>
      <c r="G25" s="1882"/>
      <c r="H25" s="2094" t="s">
        <v>109</v>
      </c>
      <c r="I25" s="2095"/>
      <c r="J25" s="2096"/>
      <c r="K25" s="2097"/>
      <c r="L25" s="2086"/>
      <c r="M25" s="1947"/>
      <c r="N25" s="2087"/>
      <c r="O25" s="2088"/>
      <c r="P25" s="2091"/>
      <c r="Q25" s="2092"/>
      <c r="R25" s="2092"/>
      <c r="S25" s="2093"/>
      <c r="T25" s="2092"/>
      <c r="U25" s="2092"/>
      <c r="V25" s="2092"/>
      <c r="W25" s="2092"/>
      <c r="X25" s="2092"/>
      <c r="Y25" s="2092"/>
      <c r="Z25" s="1190"/>
      <c r="AA25" s="1191"/>
      <c r="AB25" s="1265" t="s">
        <v>408</v>
      </c>
      <c r="AC25" s="1195"/>
      <c r="AD25" s="1195"/>
      <c r="AE25" s="1197"/>
      <c r="AF25" s="2085"/>
      <c r="AG25" s="2086"/>
      <c r="AH25" s="2086"/>
      <c r="AI25" s="2085"/>
      <c r="AJ25" s="2086"/>
      <c r="AK25" s="2086"/>
      <c r="AL25" s="1187"/>
      <c r="AM25" s="1874"/>
      <c r="AN25" s="1874"/>
      <c r="AO25" s="1874"/>
      <c r="AP25" s="1874"/>
      <c r="AQ25" s="1874"/>
      <c r="AR25" s="1874"/>
      <c r="AS25" s="1874"/>
      <c r="AT25" s="1874"/>
      <c r="AU25" s="1874"/>
      <c r="AV25" s="1874"/>
      <c r="AW25" s="1874"/>
      <c r="AX25" s="1874"/>
      <c r="AY25" s="1874"/>
      <c r="AZ25" s="1874"/>
      <c r="BA25" s="1874"/>
      <c r="BB25" s="1874"/>
      <c r="BC25" s="1874"/>
      <c r="BD25" s="1874"/>
      <c r="BE25" s="1874"/>
      <c r="BF25" s="1874"/>
    </row>
    <row customHeight="1" ht="11.25">
      <c r="A26" s="1180" t="s">
        <v>1962</v>
      </c>
      <c r="B26" s="1180"/>
      <c r="C26" s="1180"/>
      <c r="D26" s="1174"/>
      <c r="E26" s="1184"/>
      <c r="F26" s="1881"/>
      <c r="G26" s="1882"/>
      <c r="H26" s="2094" t="s">
        <v>109</v>
      </c>
      <c r="I26" s="2095"/>
      <c r="J26" s="2096"/>
      <c r="K26" s="2097"/>
      <c r="L26" s="2086"/>
      <c r="M26" s="1947"/>
      <c r="N26" s="1191"/>
      <c r="O26" s="1191"/>
      <c r="P26" s="1182" t="s">
        <v>409</v>
      </c>
      <c r="Q26" s="1191"/>
      <c r="R26" s="1191"/>
      <c r="S26" s="1191"/>
      <c r="T26" s="1191"/>
      <c r="U26" s="1191"/>
      <c r="V26" s="1191"/>
      <c r="W26" s="1191"/>
      <c r="X26" s="1191"/>
      <c r="Y26" s="1191"/>
      <c r="Z26" s="1191"/>
      <c r="AA26" s="1191"/>
      <c r="AB26" s="1191"/>
      <c r="AC26" s="1191"/>
      <c r="AD26" s="1191"/>
      <c r="AE26" s="1198"/>
      <c r="AF26" s="2085"/>
      <c r="AG26" s="2086"/>
      <c r="AH26" s="2086"/>
      <c r="AI26" s="2085"/>
      <c r="AJ26" s="2086"/>
      <c r="AK26" s="2086"/>
      <c r="AL26" s="1187"/>
      <c r="AM26" s="1874"/>
      <c r="AN26" s="1874"/>
      <c r="AO26" s="1874"/>
      <c r="AP26" s="1874"/>
      <c r="AQ26" s="1874"/>
      <c r="AR26" s="1874"/>
      <c r="AS26" s="1874"/>
      <c r="AT26" s="1874"/>
      <c r="AU26" s="1874"/>
      <c r="AV26" s="1874"/>
      <c r="AW26" s="1874"/>
      <c r="AX26" s="1874"/>
      <c r="AY26" s="1874"/>
      <c r="AZ26" s="1874"/>
      <c r="BA26" s="1874"/>
      <c r="BB26" s="1874"/>
      <c r="BC26" s="1874"/>
      <c r="BD26" s="1874"/>
      <c r="BE26" s="1874"/>
      <c r="BF26" s="1874"/>
    </row>
    <row customHeight="1" ht="11.25">
      <c r="A27" s="1180" t="s">
        <v>1962</v>
      </c>
      <c r="B27" s="1180"/>
      <c r="C27" s="1180"/>
      <c r="D27" s="1174"/>
      <c r="E27" s="1184"/>
      <c r="F27" s="1881"/>
      <c r="G27" s="4144" t="s">
        <v>121</v>
      </c>
      <c r="H27" s="2094" t="s">
        <v>90</v>
      </c>
      <c r="I27" s="2095"/>
      <c r="J27" s="2096"/>
      <c r="K27" s="2097" t="s">
        <v>1997</v>
      </c>
      <c r="L27" s="2086" t="s">
        <v>56</v>
      </c>
      <c r="M27" s="1947"/>
      <c r="N27" s="1193"/>
      <c r="O27" s="1192" t="s">
        <v>371</v>
      </c>
      <c r="P27" s="1193"/>
      <c r="Q27" s="1193"/>
      <c r="R27" s="1193"/>
      <c r="S27" s="1193"/>
      <c r="T27" s="1193"/>
      <c r="U27" s="1193"/>
      <c r="V27" s="1193"/>
      <c r="W27" s="1193"/>
      <c r="X27" s="1193"/>
      <c r="Y27" s="1193"/>
      <c r="Z27" s="1193"/>
      <c r="AA27" s="1193"/>
      <c r="AB27" s="1193"/>
      <c r="AC27" s="1193"/>
      <c r="AD27" s="1193"/>
      <c r="AE27" s="1193"/>
      <c r="AF27" s="2085">
        <v>2023</v>
      </c>
      <c r="AG27" s="2086" t="s">
        <v>835</v>
      </c>
      <c r="AH27" s="2086" t="s">
        <v>1996</v>
      </c>
      <c r="AI27" s="2085">
        <v>2023</v>
      </c>
      <c r="AJ27" s="2086" t="s">
        <v>835</v>
      </c>
      <c r="AK27" s="2086" t="s">
        <v>1996</v>
      </c>
      <c r="AL27" s="1187"/>
      <c r="AM27" s="1874"/>
      <c r="AN27" s="1874"/>
      <c r="AO27" s="1874"/>
      <c r="AP27" s="1874"/>
      <c r="AQ27" s="1874"/>
      <c r="AR27" s="1874"/>
      <c r="AS27" s="1874"/>
      <c r="AT27" s="1874"/>
      <c r="AU27" s="1874"/>
      <c r="AV27" s="1874"/>
      <c r="AW27" s="1874"/>
      <c r="AX27" s="1874"/>
      <c r="AY27" s="1874"/>
      <c r="AZ27" s="1874"/>
      <c r="BA27" s="1874"/>
      <c r="BB27" s="1874"/>
      <c r="BC27" s="1874"/>
      <c r="BD27" s="1874"/>
      <c r="BE27" s="1874"/>
      <c r="BF27" s="1874"/>
    </row>
    <row customHeight="1" ht="11.25">
      <c r="A28" s="1180" t="s">
        <v>1962</v>
      </c>
      <c r="B28" s="1180"/>
      <c r="C28" s="1180"/>
      <c r="D28" s="1174"/>
      <c r="E28" s="1184"/>
      <c r="F28" s="1881"/>
      <c r="G28" s="1882"/>
      <c r="H28" s="2094" t="s">
        <v>110</v>
      </c>
      <c r="I28" s="2095"/>
      <c r="J28" s="2096"/>
      <c r="K28" s="2097"/>
      <c r="L28" s="2086"/>
      <c r="M28" s="1947"/>
      <c r="N28" s="2087"/>
      <c r="O28" s="2088">
        <v>1</v>
      </c>
      <c r="P28" s="2089" t="s">
        <v>56</v>
      </c>
      <c r="Q28" s="2092" t="s">
        <v>18</v>
      </c>
      <c r="R28" s="2092" t="s">
        <v>18</v>
      </c>
      <c r="S28" s="2092" t="s">
        <v>18</v>
      </c>
      <c r="T28" s="2092" t="s">
        <v>18</v>
      </c>
      <c r="U28" s="2092" t="s">
        <v>18</v>
      </c>
      <c r="V28" s="2092" t="s">
        <v>18</v>
      </c>
      <c r="W28" s="2092" t="s">
        <v>18</v>
      </c>
      <c r="X28" s="2092" t="s">
        <v>18</v>
      </c>
      <c r="Y28" s="2092"/>
      <c r="Z28" s="1190"/>
      <c r="AA28" s="1191"/>
      <c r="AB28" s="1191"/>
      <c r="AC28" s="1195"/>
      <c r="AD28" s="1195"/>
      <c r="AE28" s="1196"/>
      <c r="AF28" s="2085"/>
      <c r="AG28" s="2086"/>
      <c r="AH28" s="2086"/>
      <c r="AI28" s="2085"/>
      <c r="AJ28" s="2086"/>
      <c r="AK28" s="2086"/>
      <c r="AL28" s="1187"/>
      <c r="AM28" s="1874"/>
      <c r="AN28" s="1874"/>
      <c r="AO28" s="1874"/>
      <c r="AP28" s="1874"/>
      <c r="AQ28" s="1874"/>
      <c r="AR28" s="1874"/>
      <c r="AS28" s="1874"/>
      <c r="AT28" s="1874"/>
      <c r="AU28" s="1874"/>
      <c r="AV28" s="1874"/>
      <c r="AW28" s="1874"/>
      <c r="AX28" s="1874"/>
      <c r="AY28" s="1874"/>
      <c r="AZ28" s="1874"/>
      <c r="BA28" s="1874"/>
      <c r="BB28" s="1874"/>
      <c r="BC28" s="1874"/>
      <c r="BD28" s="1874"/>
      <c r="BE28" s="1874"/>
      <c r="BF28" s="1874"/>
    </row>
    <row customHeight="1" ht="11.25">
      <c r="A29" s="1180" t="s">
        <v>1962</v>
      </c>
      <c r="B29" s="1180"/>
      <c r="C29" s="1180"/>
      <c r="D29" s="1174"/>
      <c r="E29" s="1184"/>
      <c r="F29" s="1881"/>
      <c r="G29" s="1882"/>
      <c r="H29" s="2094" t="s">
        <v>110</v>
      </c>
      <c r="I29" s="2095"/>
      <c r="J29" s="2096"/>
      <c r="K29" s="2097"/>
      <c r="L29" s="2086"/>
      <c r="M29" s="1947"/>
      <c r="N29" s="2087"/>
      <c r="O29" s="2088"/>
      <c r="P29" s="2090"/>
      <c r="Q29" s="2092"/>
      <c r="R29" s="2092"/>
      <c r="S29" s="2093"/>
      <c r="T29" s="2092"/>
      <c r="U29" s="2092"/>
      <c r="V29" s="2092"/>
      <c r="W29" s="2092"/>
      <c r="X29" s="2092"/>
      <c r="Y29" s="2092"/>
      <c r="Z29" s="1880"/>
      <c r="AA29" s="1845">
        <v>1</v>
      </c>
      <c r="AB29" s="1194" t="s">
        <v>804</v>
      </c>
      <c r="AC29" s="1183">
        <v>4416.43</v>
      </c>
      <c r="AD29" s="1194" t="str">
        <f>AB29</f>
        <v>     Прочие амортизационные отчисления</v>
      </c>
      <c r="AE29" s="1183">
        <v>4416.43</v>
      </c>
      <c r="AF29" s="2085"/>
      <c r="AG29" s="2086"/>
      <c r="AH29" s="2086"/>
      <c r="AI29" s="2085"/>
      <c r="AJ29" s="2086"/>
      <c r="AK29" s="2086"/>
      <c r="AL29" s="1187"/>
      <c r="AM29" s="1874"/>
      <c r="AN29" s="1874"/>
      <c r="AO29" s="1874"/>
      <c r="AP29" s="1874"/>
      <c r="AQ29" s="1874"/>
      <c r="AR29" s="1874"/>
      <c r="AS29" s="1874"/>
      <c r="AT29" s="1874"/>
      <c r="AU29" s="1874"/>
      <c r="AV29" s="1874"/>
      <c r="AW29" s="1874"/>
      <c r="AX29" s="1874"/>
      <c r="AY29" s="1874"/>
      <c r="AZ29" s="1874"/>
      <c r="BA29" s="1874"/>
      <c r="BB29" s="1874"/>
      <c r="BC29" s="1874"/>
      <c r="BD29" s="1874"/>
      <c r="BE29" s="1874"/>
      <c r="BF29" s="1874"/>
    </row>
    <row customHeight="1" ht="11.25">
      <c r="A30" s="1180" t="s">
        <v>1962</v>
      </c>
      <c r="B30" s="1180"/>
      <c r="C30" s="1180"/>
      <c r="D30" s="1174"/>
      <c r="E30" s="1184"/>
      <c r="F30" s="1882"/>
      <c r="G30" s="1882"/>
      <c r="H30" s="1882"/>
      <c r="I30" s="1882"/>
      <c r="J30" s="1882"/>
      <c r="K30" s="1882"/>
      <c r="L30" s="1882"/>
      <c r="M30" s="1882"/>
      <c r="N30" s="1882"/>
      <c r="O30" s="1882"/>
      <c r="P30" s="1882"/>
      <c r="Q30" s="1882"/>
      <c r="R30" s="1882"/>
      <c r="S30" s="1882"/>
      <c r="T30" s="1882"/>
      <c r="U30" s="1882"/>
      <c r="V30" s="1882"/>
      <c r="W30" s="1882"/>
      <c r="X30" s="1882"/>
      <c r="Y30" s="1882"/>
      <c r="Z30" s="4144" t="s">
        <v>121</v>
      </c>
      <c r="AA30" s="1865" t="s">
        <v>110</v>
      </c>
      <c r="AB30" s="1194" t="s">
        <v>741</v>
      </c>
      <c r="AC30" s="1183">
        <v>6501.23</v>
      </c>
      <c r="AD30" s="1194" t="str">
        <f>AB30</f>
        <v>  Капитальные вложения (инвестиции), финансируемые за счет нормативной прибыли, учитываемой в необходимой валовой выручке</v>
      </c>
      <c r="AE30" s="1183">
        <v>6501.23</v>
      </c>
      <c r="AF30" s="1883"/>
      <c r="AG30" s="1805"/>
      <c r="AH30" s="1805"/>
      <c r="AI30" s="1883"/>
      <c r="AJ30" s="1805"/>
      <c r="AK30" s="1805"/>
      <c r="AL30" s="1187"/>
      <c r="AM30" s="1874"/>
      <c r="AN30" s="1874"/>
      <c r="AO30" s="1874"/>
      <c r="AP30" s="1874"/>
      <c r="AQ30" s="1874"/>
      <c r="AR30" s="1874"/>
      <c r="AS30" s="1874"/>
      <c r="AT30" s="1874"/>
      <c r="AU30" s="1874"/>
      <c r="AV30" s="1874"/>
      <c r="AW30" s="1874"/>
      <c r="AX30" s="1874"/>
      <c r="AY30" s="1874"/>
      <c r="AZ30" s="1874"/>
      <c r="BA30" s="1874"/>
      <c r="BB30" s="1874"/>
      <c r="BC30" s="1874"/>
      <c r="BD30" s="1874"/>
      <c r="BE30" s="1874"/>
      <c r="BF30" s="1874"/>
    </row>
    <row customHeight="1" ht="11.25">
      <c r="A31" s="1180" t="s">
        <v>1962</v>
      </c>
      <c r="B31" s="1180"/>
      <c r="C31" s="1180"/>
      <c r="D31" s="1174"/>
      <c r="E31" s="1184"/>
      <c r="F31" s="1881"/>
      <c r="G31" s="1882"/>
      <c r="H31" s="2094" t="s">
        <v>110</v>
      </c>
      <c r="I31" s="2095"/>
      <c r="J31" s="2096"/>
      <c r="K31" s="2097"/>
      <c r="L31" s="2086"/>
      <c r="M31" s="1947"/>
      <c r="N31" s="2087"/>
      <c r="O31" s="2088"/>
      <c r="P31" s="2091"/>
      <c r="Q31" s="2092"/>
      <c r="R31" s="2092"/>
      <c r="S31" s="2093"/>
      <c r="T31" s="2092"/>
      <c r="U31" s="2092"/>
      <c r="V31" s="2092"/>
      <c r="W31" s="2092"/>
      <c r="X31" s="2092"/>
      <c r="Y31" s="2092"/>
      <c r="Z31" s="1190"/>
      <c r="AA31" s="1191"/>
      <c r="AB31" s="1265" t="s">
        <v>408</v>
      </c>
      <c r="AC31" s="1195"/>
      <c r="AD31" s="1195"/>
      <c r="AE31" s="1197"/>
      <c r="AF31" s="2085"/>
      <c r="AG31" s="2086"/>
      <c r="AH31" s="2086"/>
      <c r="AI31" s="2085"/>
      <c r="AJ31" s="2086"/>
      <c r="AK31" s="2086"/>
      <c r="AL31" s="1187"/>
      <c r="AM31" s="1874"/>
      <c r="AN31" s="1874"/>
      <c r="AO31" s="1874"/>
      <c r="AP31" s="1874"/>
      <c r="AQ31" s="1874"/>
      <c r="AR31" s="1874"/>
      <c r="AS31" s="1874"/>
      <c r="AT31" s="1874"/>
      <c r="AU31" s="1874"/>
      <c r="AV31" s="1874"/>
      <c r="AW31" s="1874"/>
      <c r="AX31" s="1874"/>
      <c r="AY31" s="1874"/>
      <c r="AZ31" s="1874"/>
      <c r="BA31" s="1874"/>
      <c r="BB31" s="1874"/>
      <c r="BC31" s="1874"/>
      <c r="BD31" s="1874"/>
      <c r="BE31" s="1874"/>
      <c r="BF31" s="1874"/>
    </row>
    <row customHeight="1" ht="11.25">
      <c r="A32" s="1180" t="s">
        <v>1962</v>
      </c>
      <c r="B32" s="1180"/>
      <c r="C32" s="1180"/>
      <c r="D32" s="1174"/>
      <c r="E32" s="1184"/>
      <c r="F32" s="1881"/>
      <c r="G32" s="1882"/>
      <c r="H32" s="2094" t="s">
        <v>110</v>
      </c>
      <c r="I32" s="2095"/>
      <c r="J32" s="2096"/>
      <c r="K32" s="2097"/>
      <c r="L32" s="2086"/>
      <c r="M32" s="1947"/>
      <c r="N32" s="1191"/>
      <c r="O32" s="1191"/>
      <c r="P32" s="1182" t="s">
        <v>409</v>
      </c>
      <c r="Q32" s="1191"/>
      <c r="R32" s="1191"/>
      <c r="S32" s="1191"/>
      <c r="T32" s="1191"/>
      <c r="U32" s="1191"/>
      <c r="V32" s="1191"/>
      <c r="W32" s="1191"/>
      <c r="X32" s="1191"/>
      <c r="Y32" s="1191"/>
      <c r="Z32" s="1191"/>
      <c r="AA32" s="1191"/>
      <c r="AB32" s="1191"/>
      <c r="AC32" s="1191"/>
      <c r="AD32" s="1191"/>
      <c r="AE32" s="1198"/>
      <c r="AF32" s="2085"/>
      <c r="AG32" s="2086"/>
      <c r="AH32" s="2086"/>
      <c r="AI32" s="2085"/>
      <c r="AJ32" s="2086"/>
      <c r="AK32" s="2086"/>
      <c r="AL32" s="1187"/>
      <c r="AM32" s="1874"/>
      <c r="AN32" s="1874"/>
      <c r="AO32" s="1874"/>
      <c r="AP32" s="1874"/>
      <c r="AQ32" s="1874"/>
      <c r="AR32" s="1874"/>
      <c r="AS32" s="1874"/>
      <c r="AT32" s="1874"/>
      <c r="AU32" s="1874"/>
      <c r="AV32" s="1874"/>
      <c r="AW32" s="1874"/>
      <c r="AX32" s="1874"/>
      <c r="AY32" s="1874"/>
      <c r="AZ32" s="1874"/>
      <c r="BA32" s="1874"/>
      <c r="BB32" s="1874"/>
      <c r="BC32" s="1874"/>
      <c r="BD32" s="1874"/>
      <c r="BE32" s="1874"/>
      <c r="BF32" s="1874"/>
    </row>
    <row customHeight="1" ht="12">
      <c r="A33" s="1180" t="s">
        <v>1962</v>
      </c>
      <c r="B33" s="1180"/>
      <c r="C33" s="1180"/>
      <c r="D33" s="1174"/>
      <c r="E33" s="1184"/>
      <c r="F33" s="2115"/>
      <c r="G33" s="1206"/>
      <c r="H33" s="1206"/>
      <c r="I33" s="2113" t="s">
        <v>410</v>
      </c>
      <c r="J33" s="2113"/>
      <c r="K33" s="2113"/>
      <c r="L33" s="1188"/>
      <c r="M33" s="1188"/>
      <c r="N33" s="1189"/>
      <c r="O33" s="1189"/>
      <c r="P33" s="1189"/>
      <c r="Q33" s="1189"/>
      <c r="R33" s="1189"/>
      <c r="S33" s="1189"/>
      <c r="T33" s="1189"/>
      <c r="U33" s="1189"/>
      <c r="V33" s="1189"/>
      <c r="W33" s="1189"/>
      <c r="X33" s="1189"/>
      <c r="Y33" s="1189"/>
      <c r="Z33" s="1189"/>
      <c r="AA33" s="1189"/>
      <c r="AB33" s="1189"/>
      <c r="AC33" s="1189"/>
      <c r="AD33" s="1189"/>
      <c r="AE33" s="1189"/>
      <c r="AF33" s="1189"/>
      <c r="AG33" s="1188"/>
      <c r="AH33" s="1188"/>
      <c r="AI33" s="1189"/>
      <c r="AJ33" s="1188"/>
      <c r="AK33" s="1199"/>
      <c r="AL33" s="1187"/>
      <c r="AM33" s="1874"/>
      <c r="AN33" s="1874"/>
      <c r="AO33" s="1874"/>
      <c r="AP33" s="1874"/>
      <c r="AQ33" s="1874"/>
      <c r="AR33" s="1874"/>
      <c r="AS33" s="1874"/>
      <c r="AT33" s="1874"/>
      <c r="AU33" s="1874"/>
      <c r="AV33" s="1874"/>
      <c r="AW33" s="1874"/>
      <c r="AX33" s="1874"/>
      <c r="AY33" s="1874"/>
      <c r="AZ33" s="1874"/>
      <c r="BA33" s="1874"/>
      <c r="BB33" s="1874"/>
      <c r="BC33" s="1874"/>
      <c r="BD33" s="1874"/>
      <c r="BE33" s="1874"/>
      <c r="BF33" s="1874"/>
    </row>
    <row customHeight="1" ht="11.25">
      <c r="A34" s="1180" t="s">
        <v>1962</v>
      </c>
      <c r="B34" s="1180"/>
      <c r="C34" s="1180"/>
      <c r="D34" s="1174"/>
      <c r="E34" s="1184"/>
      <c r="F34" s="2114">
        <v>2020</v>
      </c>
      <c r="G34" s="2094"/>
      <c r="H34" s="2094" t="s">
        <v>109</v>
      </c>
      <c r="I34" s="2095"/>
      <c r="J34" s="2096"/>
      <c r="K34" s="2097" t="s">
        <v>1993</v>
      </c>
      <c r="L34" s="2086" t="s">
        <v>56</v>
      </c>
      <c r="M34" s="1947"/>
      <c r="N34" s="1193"/>
      <c r="O34" s="1192" t="s">
        <v>371</v>
      </c>
      <c r="P34" s="1193"/>
      <c r="Q34" s="1193"/>
      <c r="R34" s="1193"/>
      <c r="S34" s="1193"/>
      <c r="T34" s="1193"/>
      <c r="U34" s="1193"/>
      <c r="V34" s="1193"/>
      <c r="W34" s="1193"/>
      <c r="X34" s="1193"/>
      <c r="Y34" s="1193"/>
      <c r="Z34" s="1193"/>
      <c r="AA34" s="1193"/>
      <c r="AB34" s="1193"/>
      <c r="AC34" s="1193"/>
      <c r="AD34" s="1193"/>
      <c r="AE34" s="1193"/>
      <c r="AF34" s="2085">
        <v>2021</v>
      </c>
      <c r="AG34" s="2086" t="s">
        <v>835</v>
      </c>
      <c r="AH34" s="2086" t="s">
        <v>1994</v>
      </c>
      <c r="AI34" s="2085">
        <v>2021</v>
      </c>
      <c r="AJ34" s="2086" t="s">
        <v>835</v>
      </c>
      <c r="AK34" s="2086" t="s">
        <v>1994</v>
      </c>
      <c r="AL34" s="1187"/>
      <c r="AM34" s="1874"/>
      <c r="AN34" s="1874"/>
      <c r="AO34" s="1874"/>
      <c r="AP34" s="1874"/>
      <c r="AQ34" s="1874"/>
      <c r="AR34" s="1874"/>
      <c r="AS34" s="1874"/>
      <c r="AT34" s="1874"/>
      <c r="AU34" s="1874"/>
      <c r="AV34" s="1874"/>
      <c r="AW34" s="1874"/>
      <c r="AX34" s="1874"/>
      <c r="AY34" s="1874"/>
      <c r="AZ34" s="1874"/>
      <c r="BA34" s="1874"/>
      <c r="BB34" s="1874"/>
      <c r="BC34" s="1874"/>
      <c r="BD34" s="1874"/>
      <c r="BE34" s="1874"/>
      <c r="BF34" s="1874"/>
    </row>
    <row customHeight="1" ht="11.25">
      <c r="A35" s="1180" t="s">
        <v>1962</v>
      </c>
      <c r="B35" s="1180"/>
      <c r="C35" s="1180"/>
      <c r="D35" s="1174"/>
      <c r="E35" s="1184"/>
      <c r="F35" s="2114"/>
      <c r="G35" s="2094"/>
      <c r="H35" s="2094"/>
      <c r="I35" s="2095"/>
      <c r="J35" s="2096"/>
      <c r="K35" s="2097"/>
      <c r="L35" s="2086"/>
      <c r="M35" s="1947"/>
      <c r="N35" s="2087"/>
      <c r="O35" s="2088">
        <v>1</v>
      </c>
      <c r="P35" s="2089" t="s">
        <v>56</v>
      </c>
      <c r="Q35" s="2092" t="s">
        <v>18</v>
      </c>
      <c r="R35" s="2092" t="s">
        <v>18</v>
      </c>
      <c r="S35" s="2092" t="s">
        <v>18</v>
      </c>
      <c r="T35" s="2092" t="s">
        <v>18</v>
      </c>
      <c r="U35" s="2092" t="s">
        <v>18</v>
      </c>
      <c r="V35" s="2092" t="s">
        <v>18</v>
      </c>
      <c r="W35" s="2092" t="s">
        <v>18</v>
      </c>
      <c r="X35" s="2092" t="s">
        <v>18</v>
      </c>
      <c r="Y35" s="2092"/>
      <c r="Z35" s="1190"/>
      <c r="AA35" s="1191"/>
      <c r="AB35" s="1191"/>
      <c r="AC35" s="1195"/>
      <c r="AD35" s="1195"/>
      <c r="AE35" s="1196"/>
      <c r="AF35" s="2085"/>
      <c r="AG35" s="2086"/>
      <c r="AH35" s="2086"/>
      <c r="AI35" s="2085"/>
      <c r="AJ35" s="2086"/>
      <c r="AK35" s="2086"/>
      <c r="AL35" s="1187"/>
      <c r="AM35" s="1874"/>
      <c r="AN35" s="1874"/>
      <c r="AO35" s="1874"/>
      <c r="AP35" s="1874"/>
      <c r="AQ35" s="1874"/>
      <c r="AR35" s="1874"/>
      <c r="AS35" s="1874"/>
      <c r="AT35" s="1874"/>
      <c r="AU35" s="1874"/>
      <c r="AV35" s="1874"/>
      <c r="AW35" s="1874"/>
      <c r="AX35" s="1874"/>
      <c r="AY35" s="1874"/>
      <c r="AZ35" s="1874"/>
      <c r="BA35" s="1874"/>
      <c r="BB35" s="1874"/>
      <c r="BC35" s="1874"/>
      <c r="BD35" s="1874"/>
      <c r="BE35" s="1874"/>
      <c r="BF35" s="1874"/>
    </row>
    <row customHeight="1" ht="11.25">
      <c r="A36" s="1180" t="s">
        <v>1962</v>
      </c>
      <c r="B36" s="1180"/>
      <c r="C36" s="1180"/>
      <c r="D36" s="1174"/>
      <c r="E36" s="1184"/>
      <c r="F36" s="2114"/>
      <c r="G36" s="2094"/>
      <c r="H36" s="2094"/>
      <c r="I36" s="2095"/>
      <c r="J36" s="2096"/>
      <c r="K36" s="2097"/>
      <c r="L36" s="2086"/>
      <c r="M36" s="1947"/>
      <c r="N36" s="2087"/>
      <c r="O36" s="2088"/>
      <c r="P36" s="2090"/>
      <c r="Q36" s="2092"/>
      <c r="R36" s="2092"/>
      <c r="S36" s="2093"/>
      <c r="T36" s="2092"/>
      <c r="U36" s="2092"/>
      <c r="V36" s="2092"/>
      <c r="W36" s="2092"/>
      <c r="X36" s="2092"/>
      <c r="Y36" s="2092"/>
      <c r="Z36" s="1880"/>
      <c r="AA36" s="1845">
        <v>1</v>
      </c>
      <c r="AB36" s="1194" t="s">
        <v>741</v>
      </c>
      <c r="AC36" s="1183">
        <v>1202.45</v>
      </c>
      <c r="AD36" s="1194" t="str">
        <f>AB36</f>
        <v>  Капитальные вложения (инвестиции), финансируемые за счет нормативной прибыли, учитываемой в необходимой валовой выручке</v>
      </c>
      <c r="AE36" s="1183">
        <v>1202.45</v>
      </c>
      <c r="AF36" s="2085"/>
      <c r="AG36" s="2086"/>
      <c r="AH36" s="2086"/>
      <c r="AI36" s="2085"/>
      <c r="AJ36" s="2086"/>
      <c r="AK36" s="2086"/>
      <c r="AL36" s="1187"/>
      <c r="AM36" s="1874"/>
      <c r="AN36" s="1874"/>
      <c r="AO36" s="1874"/>
      <c r="AP36" s="1874"/>
      <c r="AQ36" s="1874"/>
      <c r="AR36" s="1874"/>
      <c r="AS36" s="1874"/>
      <c r="AT36" s="1874"/>
      <c r="AU36" s="1874"/>
      <c r="AV36" s="1874"/>
      <c r="AW36" s="1874"/>
      <c r="AX36" s="1874"/>
      <c r="AY36" s="1874"/>
      <c r="AZ36" s="1874"/>
      <c r="BA36" s="1874"/>
      <c r="BB36" s="1874"/>
      <c r="BC36" s="1874"/>
      <c r="BD36" s="1874"/>
      <c r="BE36" s="1874"/>
      <c r="BF36" s="1874"/>
    </row>
    <row customHeight="1" ht="11.25">
      <c r="A37" s="1180" t="s">
        <v>1962</v>
      </c>
      <c r="B37" s="1180"/>
      <c r="C37" s="1180"/>
      <c r="D37" s="1174"/>
      <c r="E37" s="1184"/>
      <c r="F37" s="2114"/>
      <c r="G37" s="2094"/>
      <c r="H37" s="2094"/>
      <c r="I37" s="2095"/>
      <c r="J37" s="2096"/>
      <c r="K37" s="2097"/>
      <c r="L37" s="2086"/>
      <c r="M37" s="1947"/>
      <c r="N37" s="2087"/>
      <c r="O37" s="2088"/>
      <c r="P37" s="2091"/>
      <c r="Q37" s="2092"/>
      <c r="R37" s="2092"/>
      <c r="S37" s="2093"/>
      <c r="T37" s="2092"/>
      <c r="U37" s="2092"/>
      <c r="V37" s="2092"/>
      <c r="W37" s="2092"/>
      <c r="X37" s="2092"/>
      <c r="Y37" s="2092"/>
      <c r="Z37" s="1190"/>
      <c r="AA37" s="1191"/>
      <c r="AB37" s="1265" t="s">
        <v>408</v>
      </c>
      <c r="AC37" s="1195"/>
      <c r="AD37" s="1195"/>
      <c r="AE37" s="1197"/>
      <c r="AF37" s="2085"/>
      <c r="AG37" s="2086"/>
      <c r="AH37" s="2086"/>
      <c r="AI37" s="2085"/>
      <c r="AJ37" s="2086"/>
      <c r="AK37" s="2086"/>
      <c r="AL37" s="1187"/>
      <c r="AM37" s="1874"/>
      <c r="AN37" s="1874"/>
      <c r="AO37" s="1874"/>
      <c r="AP37" s="1874"/>
      <c r="AQ37" s="1874"/>
      <c r="AR37" s="1874"/>
      <c r="AS37" s="1874"/>
      <c r="AT37" s="1874"/>
      <c r="AU37" s="1874"/>
      <c r="AV37" s="1874"/>
      <c r="AW37" s="1874"/>
      <c r="AX37" s="1874"/>
      <c r="AY37" s="1874"/>
      <c r="AZ37" s="1874"/>
      <c r="BA37" s="1874"/>
      <c r="BB37" s="1874"/>
      <c r="BC37" s="1874"/>
      <c r="BD37" s="1874"/>
      <c r="BE37" s="1874"/>
      <c r="BF37" s="1874"/>
    </row>
    <row customHeight="1" ht="11.25">
      <c r="A38" s="1180" t="s">
        <v>1962</v>
      </c>
      <c r="B38" s="1180"/>
      <c r="C38" s="1180"/>
      <c r="D38" s="1174"/>
      <c r="E38" s="1184"/>
      <c r="F38" s="2114"/>
      <c r="G38" s="2094"/>
      <c r="H38" s="2094"/>
      <c r="I38" s="2095"/>
      <c r="J38" s="2096"/>
      <c r="K38" s="2097"/>
      <c r="L38" s="2086"/>
      <c r="M38" s="1947"/>
      <c r="N38" s="1191"/>
      <c r="O38" s="1191"/>
      <c r="P38" s="1182" t="s">
        <v>409</v>
      </c>
      <c r="Q38" s="1191"/>
      <c r="R38" s="1191"/>
      <c r="S38" s="1191"/>
      <c r="T38" s="1191"/>
      <c r="U38" s="1191"/>
      <c r="V38" s="1191"/>
      <c r="W38" s="1191"/>
      <c r="X38" s="1191"/>
      <c r="Y38" s="1191"/>
      <c r="Z38" s="1191"/>
      <c r="AA38" s="1191"/>
      <c r="AB38" s="1191"/>
      <c r="AC38" s="1191"/>
      <c r="AD38" s="1191"/>
      <c r="AE38" s="1198"/>
      <c r="AF38" s="2085"/>
      <c r="AG38" s="2086"/>
      <c r="AH38" s="2086"/>
      <c r="AI38" s="2085"/>
      <c r="AJ38" s="2086"/>
      <c r="AK38" s="2086"/>
      <c r="AL38" s="1187"/>
      <c r="AM38" s="1874"/>
      <c r="AN38" s="1874"/>
      <c r="AO38" s="1874"/>
      <c r="AP38" s="1874"/>
      <c r="AQ38" s="1874"/>
      <c r="AR38" s="1874"/>
      <c r="AS38" s="1874"/>
      <c r="AT38" s="1874"/>
      <c r="AU38" s="1874"/>
      <c r="AV38" s="1874"/>
      <c r="AW38" s="1874"/>
      <c r="AX38" s="1874"/>
      <c r="AY38" s="1874"/>
      <c r="AZ38" s="1874"/>
      <c r="BA38" s="1874"/>
      <c r="BB38" s="1874"/>
      <c r="BC38" s="1874"/>
      <c r="BD38" s="1874"/>
      <c r="BE38" s="1874"/>
      <c r="BF38" s="1874"/>
    </row>
    <row customHeight="1" ht="11.25">
      <c r="A39" s="1180" t="s">
        <v>1962</v>
      </c>
      <c r="B39" s="1180"/>
      <c r="C39" s="1180"/>
      <c r="D39" s="1174"/>
      <c r="E39" s="1184"/>
      <c r="F39" s="1881"/>
      <c r="G39" s="4144" t="s">
        <v>121</v>
      </c>
      <c r="H39" s="2094" t="s">
        <v>110</v>
      </c>
      <c r="I39" s="2095"/>
      <c r="J39" s="2096"/>
      <c r="K39" s="2097" t="s">
        <v>1995</v>
      </c>
      <c r="L39" s="2086" t="s">
        <v>56</v>
      </c>
      <c r="M39" s="1947"/>
      <c r="N39" s="1193"/>
      <c r="O39" s="1192" t="s">
        <v>371</v>
      </c>
      <c r="P39" s="1193"/>
      <c r="Q39" s="1193"/>
      <c r="R39" s="1193"/>
      <c r="S39" s="1193"/>
      <c r="T39" s="1193"/>
      <c r="U39" s="1193"/>
      <c r="V39" s="1193"/>
      <c r="W39" s="1193"/>
      <c r="X39" s="1193"/>
      <c r="Y39" s="1193"/>
      <c r="Z39" s="1193"/>
      <c r="AA39" s="1193"/>
      <c r="AB39" s="1193"/>
      <c r="AC39" s="1193"/>
      <c r="AD39" s="1193"/>
      <c r="AE39" s="1193"/>
      <c r="AF39" s="2085">
        <v>2023</v>
      </c>
      <c r="AG39" s="2086" t="s">
        <v>835</v>
      </c>
      <c r="AH39" s="2086" t="s">
        <v>1996</v>
      </c>
      <c r="AI39" s="2085">
        <v>2023</v>
      </c>
      <c r="AJ39" s="2086" t="s">
        <v>835</v>
      </c>
      <c r="AK39" s="2086" t="s">
        <v>1996</v>
      </c>
      <c r="AL39" s="1187"/>
      <c r="AM39" s="1874"/>
      <c r="AN39" s="1874"/>
      <c r="AO39" s="1874"/>
      <c r="AP39" s="1874"/>
      <c r="AQ39" s="1874"/>
      <c r="AR39" s="1874"/>
      <c r="AS39" s="1874"/>
      <c r="AT39" s="1874"/>
      <c r="AU39" s="1874"/>
      <c r="AV39" s="1874"/>
      <c r="AW39" s="1874"/>
      <c r="AX39" s="1874"/>
      <c r="AY39" s="1874"/>
      <c r="AZ39" s="1874"/>
      <c r="BA39" s="1874"/>
      <c r="BB39" s="1874"/>
      <c r="BC39" s="1874"/>
      <c r="BD39" s="1874"/>
      <c r="BE39" s="1874"/>
      <c r="BF39" s="1874"/>
    </row>
    <row customHeight="1" ht="11.25">
      <c r="A40" s="1180" t="s">
        <v>1962</v>
      </c>
      <c r="B40" s="1180"/>
      <c r="C40" s="1180"/>
      <c r="D40" s="1174"/>
      <c r="E40" s="1184"/>
      <c r="F40" s="1881"/>
      <c r="G40" s="1882"/>
      <c r="H40" s="2094" t="s">
        <v>109</v>
      </c>
      <c r="I40" s="2095"/>
      <c r="J40" s="2096"/>
      <c r="K40" s="2097"/>
      <c r="L40" s="2086"/>
      <c r="M40" s="1947"/>
      <c r="N40" s="2087"/>
      <c r="O40" s="2088">
        <v>1</v>
      </c>
      <c r="P40" s="2089" t="s">
        <v>56</v>
      </c>
      <c r="Q40" s="2092" t="s">
        <v>18</v>
      </c>
      <c r="R40" s="2092" t="s">
        <v>18</v>
      </c>
      <c r="S40" s="2092" t="s">
        <v>18</v>
      </c>
      <c r="T40" s="2092" t="s">
        <v>18</v>
      </c>
      <c r="U40" s="2092" t="s">
        <v>18</v>
      </c>
      <c r="V40" s="2092" t="s">
        <v>18</v>
      </c>
      <c r="W40" s="2092" t="s">
        <v>18</v>
      </c>
      <c r="X40" s="2092" t="s">
        <v>18</v>
      </c>
      <c r="Y40" s="2092"/>
      <c r="Z40" s="1190"/>
      <c r="AA40" s="1191"/>
      <c r="AB40" s="1191"/>
      <c r="AC40" s="1195"/>
      <c r="AD40" s="1195"/>
      <c r="AE40" s="1196"/>
      <c r="AF40" s="2085"/>
      <c r="AG40" s="2086"/>
      <c r="AH40" s="2086"/>
      <c r="AI40" s="2085"/>
      <c r="AJ40" s="2086"/>
      <c r="AK40" s="2086"/>
      <c r="AL40" s="1187"/>
      <c r="AM40" s="1874"/>
      <c r="AN40" s="1874"/>
      <c r="AO40" s="1874"/>
      <c r="AP40" s="1874"/>
      <c r="AQ40" s="1874"/>
      <c r="AR40" s="1874"/>
      <c r="AS40" s="1874"/>
      <c r="AT40" s="1874"/>
      <c r="AU40" s="1874"/>
      <c r="AV40" s="1874"/>
      <c r="AW40" s="1874"/>
      <c r="AX40" s="1874"/>
      <c r="AY40" s="1874"/>
      <c r="AZ40" s="1874"/>
      <c r="BA40" s="1874"/>
      <c r="BB40" s="1874"/>
      <c r="BC40" s="1874"/>
      <c r="BD40" s="1874"/>
      <c r="BE40" s="1874"/>
      <c r="BF40" s="1874"/>
    </row>
    <row customHeight="1" ht="11.25">
      <c r="A41" s="1180" t="s">
        <v>1962</v>
      </c>
      <c r="B41" s="1180"/>
      <c r="C41" s="1180"/>
      <c r="D41" s="1174"/>
      <c r="E41" s="1184"/>
      <c r="F41" s="1881"/>
      <c r="G41" s="1882"/>
      <c r="H41" s="2094" t="s">
        <v>109</v>
      </c>
      <c r="I41" s="2095"/>
      <c r="J41" s="2096"/>
      <c r="K41" s="2097"/>
      <c r="L41" s="2086"/>
      <c r="M41" s="1947"/>
      <c r="N41" s="2087"/>
      <c r="O41" s="2088"/>
      <c r="P41" s="2090"/>
      <c r="Q41" s="2092"/>
      <c r="R41" s="2092"/>
      <c r="S41" s="2093"/>
      <c r="T41" s="2092"/>
      <c r="U41" s="2092"/>
      <c r="V41" s="2092"/>
      <c r="W41" s="2092"/>
      <c r="X41" s="2092"/>
      <c r="Y41" s="2092"/>
      <c r="Z41" s="1880"/>
      <c r="AA41" s="1845">
        <v>1</v>
      </c>
      <c r="AB41" s="1194" t="s">
        <v>804</v>
      </c>
      <c r="AC41" s="1183">
        <v>2185.29</v>
      </c>
      <c r="AD41" s="1194" t="str">
        <f>AB41</f>
        <v>     Прочие амортизационные отчисления</v>
      </c>
      <c r="AE41" s="1183">
        <v>2185.29</v>
      </c>
      <c r="AF41" s="2085"/>
      <c r="AG41" s="2086"/>
      <c r="AH41" s="2086"/>
      <c r="AI41" s="2085"/>
      <c r="AJ41" s="2086"/>
      <c r="AK41" s="2086"/>
      <c r="AL41" s="1187"/>
      <c r="AM41" s="1874"/>
      <c r="AN41" s="1874"/>
      <c r="AO41" s="1874"/>
      <c r="AP41" s="1874"/>
      <c r="AQ41" s="1874"/>
      <c r="AR41" s="1874"/>
      <c r="AS41" s="1874"/>
      <c r="AT41" s="1874"/>
      <c r="AU41" s="1874"/>
      <c r="AV41" s="1874"/>
      <c r="AW41" s="1874"/>
      <c r="AX41" s="1874"/>
      <c r="AY41" s="1874"/>
      <c r="AZ41" s="1874"/>
      <c r="BA41" s="1874"/>
      <c r="BB41" s="1874"/>
      <c r="BC41" s="1874"/>
      <c r="BD41" s="1874"/>
      <c r="BE41" s="1874"/>
      <c r="BF41" s="1874"/>
    </row>
    <row customHeight="1" ht="11.25">
      <c r="A42" s="1180" t="s">
        <v>1962</v>
      </c>
      <c r="B42" s="1180"/>
      <c r="C42" s="1180"/>
      <c r="D42" s="1174"/>
      <c r="E42" s="1184"/>
      <c r="F42" s="1882"/>
      <c r="G42" s="1882"/>
      <c r="H42" s="1882"/>
      <c r="I42" s="1882"/>
      <c r="J42" s="1882"/>
      <c r="K42" s="1882"/>
      <c r="L42" s="1882"/>
      <c r="M42" s="1882"/>
      <c r="N42" s="1882"/>
      <c r="O42" s="1882"/>
      <c r="P42" s="1882"/>
      <c r="Q42" s="1882"/>
      <c r="R42" s="1882"/>
      <c r="S42" s="1882"/>
      <c r="T42" s="1882"/>
      <c r="U42" s="1882"/>
      <c r="V42" s="1882"/>
      <c r="W42" s="1882"/>
      <c r="X42" s="1882"/>
      <c r="Y42" s="1882"/>
      <c r="Z42" s="4144" t="s">
        <v>121</v>
      </c>
      <c r="AA42" s="1865" t="s">
        <v>110</v>
      </c>
      <c r="AB42" s="1194" t="s">
        <v>741</v>
      </c>
      <c r="AC42" s="1183">
        <v>3725.8</v>
      </c>
      <c r="AD42" s="1194" t="str">
        <f>AB42</f>
        <v>  Капитальные вложения (инвестиции), финансируемые за счет нормативной прибыли, учитываемой в необходимой валовой выручке</v>
      </c>
      <c r="AE42" s="1183">
        <v>3725.8</v>
      </c>
      <c r="AF42" s="1883"/>
      <c r="AG42" s="1805"/>
      <c r="AH42" s="1805"/>
      <c r="AI42" s="1883"/>
      <c r="AJ42" s="1805"/>
      <c r="AK42" s="1805"/>
      <c r="AL42" s="1187"/>
      <c r="AM42" s="1874"/>
      <c r="AN42" s="1874"/>
      <c r="AO42" s="1874"/>
      <c r="AP42" s="1874"/>
      <c r="AQ42" s="1874"/>
      <c r="AR42" s="1874"/>
      <c r="AS42" s="1874"/>
      <c r="AT42" s="1874"/>
      <c r="AU42" s="1874"/>
      <c r="AV42" s="1874"/>
      <c r="AW42" s="1874"/>
      <c r="AX42" s="1874"/>
      <c r="AY42" s="1874"/>
      <c r="AZ42" s="1874"/>
      <c r="BA42" s="1874"/>
      <c r="BB42" s="1874"/>
      <c r="BC42" s="1874"/>
      <c r="BD42" s="1874"/>
      <c r="BE42" s="1874"/>
      <c r="BF42" s="1874"/>
    </row>
    <row customHeight="1" ht="11.25">
      <c r="A43" s="1180" t="s">
        <v>1962</v>
      </c>
      <c r="B43" s="1180"/>
      <c r="C43" s="1180"/>
      <c r="D43" s="1174"/>
      <c r="E43" s="1184"/>
      <c r="F43" s="1881"/>
      <c r="G43" s="1882"/>
      <c r="H43" s="2094" t="s">
        <v>109</v>
      </c>
      <c r="I43" s="2095"/>
      <c r="J43" s="2096"/>
      <c r="K43" s="2097"/>
      <c r="L43" s="2086"/>
      <c r="M43" s="1947"/>
      <c r="N43" s="2087"/>
      <c r="O43" s="2088"/>
      <c r="P43" s="2091"/>
      <c r="Q43" s="2092"/>
      <c r="R43" s="2092"/>
      <c r="S43" s="2093"/>
      <c r="T43" s="2092"/>
      <c r="U43" s="2092"/>
      <c r="V43" s="2092"/>
      <c r="W43" s="2092"/>
      <c r="X43" s="2092"/>
      <c r="Y43" s="2092"/>
      <c r="Z43" s="1190"/>
      <c r="AA43" s="1191"/>
      <c r="AB43" s="1265" t="s">
        <v>408</v>
      </c>
      <c r="AC43" s="1195"/>
      <c r="AD43" s="1195"/>
      <c r="AE43" s="1197"/>
      <c r="AF43" s="2085"/>
      <c r="AG43" s="2086"/>
      <c r="AH43" s="2086"/>
      <c r="AI43" s="2085"/>
      <c r="AJ43" s="2086"/>
      <c r="AK43" s="2086"/>
      <c r="AL43" s="1187"/>
      <c r="AM43" s="1874"/>
      <c r="AN43" s="1874"/>
      <c r="AO43" s="1874"/>
      <c r="AP43" s="1874"/>
      <c r="AQ43" s="1874"/>
      <c r="AR43" s="1874"/>
      <c r="AS43" s="1874"/>
      <c r="AT43" s="1874"/>
      <c r="AU43" s="1874"/>
      <c r="AV43" s="1874"/>
      <c r="AW43" s="1874"/>
      <c r="AX43" s="1874"/>
      <c r="AY43" s="1874"/>
      <c r="AZ43" s="1874"/>
      <c r="BA43" s="1874"/>
      <c r="BB43" s="1874"/>
      <c r="BC43" s="1874"/>
      <c r="BD43" s="1874"/>
      <c r="BE43" s="1874"/>
      <c r="BF43" s="1874"/>
    </row>
    <row customHeight="1" ht="11.25">
      <c r="A44" s="1180" t="s">
        <v>1962</v>
      </c>
      <c r="B44" s="1180"/>
      <c r="C44" s="1180"/>
      <c r="D44" s="1174"/>
      <c r="E44" s="1184"/>
      <c r="F44" s="1881"/>
      <c r="G44" s="1882"/>
      <c r="H44" s="2094" t="s">
        <v>109</v>
      </c>
      <c r="I44" s="2095"/>
      <c r="J44" s="2096"/>
      <c r="K44" s="2097"/>
      <c r="L44" s="2086"/>
      <c r="M44" s="1947"/>
      <c r="N44" s="1191"/>
      <c r="O44" s="1191"/>
      <c r="P44" s="1182" t="s">
        <v>409</v>
      </c>
      <c r="Q44" s="1191"/>
      <c r="R44" s="1191"/>
      <c r="S44" s="1191"/>
      <c r="T44" s="1191"/>
      <c r="U44" s="1191"/>
      <c r="V44" s="1191"/>
      <c r="W44" s="1191"/>
      <c r="X44" s="1191"/>
      <c r="Y44" s="1191"/>
      <c r="Z44" s="1191"/>
      <c r="AA44" s="1191"/>
      <c r="AB44" s="1191"/>
      <c r="AC44" s="1191"/>
      <c r="AD44" s="1191"/>
      <c r="AE44" s="1198"/>
      <c r="AF44" s="2085"/>
      <c r="AG44" s="2086"/>
      <c r="AH44" s="2086"/>
      <c r="AI44" s="2085"/>
      <c r="AJ44" s="2086"/>
      <c r="AK44" s="2086"/>
      <c r="AL44" s="1187"/>
      <c r="AM44" s="1874"/>
      <c r="AN44" s="1874"/>
      <c r="AO44" s="1874"/>
      <c r="AP44" s="1874"/>
      <c r="AQ44" s="1874"/>
      <c r="AR44" s="1874"/>
      <c r="AS44" s="1874"/>
      <c r="AT44" s="1874"/>
      <c r="AU44" s="1874"/>
      <c r="AV44" s="1874"/>
      <c r="AW44" s="1874"/>
      <c r="AX44" s="1874"/>
      <c r="AY44" s="1874"/>
      <c r="AZ44" s="1874"/>
      <c r="BA44" s="1874"/>
      <c r="BB44" s="1874"/>
      <c r="BC44" s="1874"/>
      <c r="BD44" s="1874"/>
      <c r="BE44" s="1874"/>
      <c r="BF44" s="1874"/>
    </row>
    <row customHeight="1" ht="11.25">
      <c r="A45" s="1180" t="s">
        <v>1962</v>
      </c>
      <c r="B45" s="1180"/>
      <c r="C45" s="1180"/>
      <c r="D45" s="1174"/>
      <c r="E45" s="1184"/>
      <c r="F45" s="1881"/>
      <c r="G45" s="4144" t="s">
        <v>121</v>
      </c>
      <c r="H45" s="2094" t="s">
        <v>90</v>
      </c>
      <c r="I45" s="2095"/>
      <c r="J45" s="2096"/>
      <c r="K45" s="2097" t="s">
        <v>1997</v>
      </c>
      <c r="L45" s="2086" t="s">
        <v>56</v>
      </c>
      <c r="M45" s="1947"/>
      <c r="N45" s="1193"/>
      <c r="O45" s="1192" t="s">
        <v>371</v>
      </c>
      <c r="P45" s="1193"/>
      <c r="Q45" s="1193"/>
      <c r="R45" s="1193"/>
      <c r="S45" s="1193"/>
      <c r="T45" s="1193"/>
      <c r="U45" s="1193"/>
      <c r="V45" s="1193"/>
      <c r="W45" s="1193"/>
      <c r="X45" s="1193"/>
      <c r="Y45" s="1193"/>
      <c r="Z45" s="1193"/>
      <c r="AA45" s="1193"/>
      <c r="AB45" s="1193"/>
      <c r="AC45" s="1193"/>
      <c r="AD45" s="1193"/>
      <c r="AE45" s="1193"/>
      <c r="AF45" s="2085">
        <v>2023</v>
      </c>
      <c r="AG45" s="2086" t="s">
        <v>835</v>
      </c>
      <c r="AH45" s="2086" t="s">
        <v>1996</v>
      </c>
      <c r="AI45" s="2085">
        <v>2023</v>
      </c>
      <c r="AJ45" s="2086" t="s">
        <v>835</v>
      </c>
      <c r="AK45" s="2086" t="s">
        <v>1996</v>
      </c>
      <c r="AL45" s="1187"/>
      <c r="AM45" s="1874"/>
      <c r="AN45" s="1874"/>
      <c r="AO45" s="1874"/>
      <c r="AP45" s="1874"/>
      <c r="AQ45" s="1874"/>
      <c r="AR45" s="1874"/>
      <c r="AS45" s="1874"/>
      <c r="AT45" s="1874"/>
      <c r="AU45" s="1874"/>
      <c r="AV45" s="1874"/>
      <c r="AW45" s="1874"/>
      <c r="AX45" s="1874"/>
      <c r="AY45" s="1874"/>
      <c r="AZ45" s="1874"/>
      <c r="BA45" s="1874"/>
      <c r="BB45" s="1874"/>
      <c r="BC45" s="1874"/>
      <c r="BD45" s="1874"/>
      <c r="BE45" s="1874"/>
      <c r="BF45" s="1874"/>
    </row>
    <row customHeight="1" ht="11.25">
      <c r="A46" s="1180" t="s">
        <v>1962</v>
      </c>
      <c r="B46" s="1180"/>
      <c r="C46" s="1180"/>
      <c r="D46" s="1174"/>
      <c r="E46" s="1184"/>
      <c r="F46" s="1881"/>
      <c r="G46" s="1882"/>
      <c r="H46" s="2094" t="s">
        <v>110</v>
      </c>
      <c r="I46" s="2095"/>
      <c r="J46" s="2096"/>
      <c r="K46" s="2097"/>
      <c r="L46" s="2086"/>
      <c r="M46" s="1947"/>
      <c r="N46" s="2087"/>
      <c r="O46" s="2088">
        <v>1</v>
      </c>
      <c r="P46" s="2089" t="s">
        <v>56</v>
      </c>
      <c r="Q46" s="2092" t="s">
        <v>18</v>
      </c>
      <c r="R46" s="2092" t="s">
        <v>18</v>
      </c>
      <c r="S46" s="2092" t="s">
        <v>18</v>
      </c>
      <c r="T46" s="2092" t="s">
        <v>18</v>
      </c>
      <c r="U46" s="2092" t="s">
        <v>18</v>
      </c>
      <c r="V46" s="2092" t="s">
        <v>18</v>
      </c>
      <c r="W46" s="2092" t="s">
        <v>18</v>
      </c>
      <c r="X46" s="2092" t="s">
        <v>18</v>
      </c>
      <c r="Y46" s="2092"/>
      <c r="Z46" s="1190"/>
      <c r="AA46" s="1191"/>
      <c r="AB46" s="1191"/>
      <c r="AC46" s="1195"/>
      <c r="AD46" s="1195"/>
      <c r="AE46" s="1196"/>
      <c r="AF46" s="2085"/>
      <c r="AG46" s="2086"/>
      <c r="AH46" s="2086"/>
      <c r="AI46" s="2085"/>
      <c r="AJ46" s="2086"/>
      <c r="AK46" s="2086"/>
      <c r="AL46" s="1187"/>
      <c r="AM46" s="1874"/>
      <c r="AN46" s="1874"/>
      <c r="AO46" s="1874"/>
      <c r="AP46" s="1874"/>
      <c r="AQ46" s="1874"/>
      <c r="AR46" s="1874"/>
      <c r="AS46" s="1874"/>
      <c r="AT46" s="1874"/>
      <c r="AU46" s="1874"/>
      <c r="AV46" s="1874"/>
      <c r="AW46" s="1874"/>
      <c r="AX46" s="1874"/>
      <c r="AY46" s="1874"/>
      <c r="AZ46" s="1874"/>
      <c r="BA46" s="1874"/>
      <c r="BB46" s="1874"/>
      <c r="BC46" s="1874"/>
      <c r="BD46" s="1874"/>
      <c r="BE46" s="1874"/>
      <c r="BF46" s="1874"/>
    </row>
    <row customHeight="1" ht="11.25">
      <c r="A47" s="1180" t="s">
        <v>1962</v>
      </c>
      <c r="B47" s="1180"/>
      <c r="C47" s="1180"/>
      <c r="D47" s="1174"/>
      <c r="E47" s="1184"/>
      <c r="F47" s="1881"/>
      <c r="G47" s="1882"/>
      <c r="H47" s="2094" t="s">
        <v>110</v>
      </c>
      <c r="I47" s="2095"/>
      <c r="J47" s="2096"/>
      <c r="K47" s="2097"/>
      <c r="L47" s="2086"/>
      <c r="M47" s="1947"/>
      <c r="N47" s="2087"/>
      <c r="O47" s="2088"/>
      <c r="P47" s="2090"/>
      <c r="Q47" s="2092"/>
      <c r="R47" s="2092"/>
      <c r="S47" s="2093"/>
      <c r="T47" s="2092"/>
      <c r="U47" s="2092"/>
      <c r="V47" s="2092"/>
      <c r="W47" s="2092"/>
      <c r="X47" s="2092"/>
      <c r="Y47" s="2092"/>
      <c r="Z47" s="1880"/>
      <c r="AA47" s="1845">
        <v>1</v>
      </c>
      <c r="AB47" s="1194" t="s">
        <v>804</v>
      </c>
      <c r="AC47" s="1183">
        <v>1070.96</v>
      </c>
      <c r="AD47" s="1194" t="str">
        <f>AB47</f>
        <v>     Прочие амортизационные отчисления</v>
      </c>
      <c r="AE47" s="1183">
        <v>1070.96</v>
      </c>
      <c r="AF47" s="2085"/>
      <c r="AG47" s="2086"/>
      <c r="AH47" s="2086"/>
      <c r="AI47" s="2085"/>
      <c r="AJ47" s="2086"/>
      <c r="AK47" s="2086"/>
      <c r="AL47" s="1187"/>
      <c r="AM47" s="1874"/>
      <c r="AN47" s="1874"/>
      <c r="AO47" s="1874"/>
      <c r="AP47" s="1874"/>
      <c r="AQ47" s="1874"/>
      <c r="AR47" s="1874"/>
      <c r="AS47" s="1874"/>
      <c r="AT47" s="1874"/>
      <c r="AU47" s="1874"/>
      <c r="AV47" s="1874"/>
      <c r="AW47" s="1874"/>
      <c r="AX47" s="1874"/>
      <c r="AY47" s="1874"/>
      <c r="AZ47" s="1874"/>
      <c r="BA47" s="1874"/>
      <c r="BB47" s="1874"/>
      <c r="BC47" s="1874"/>
      <c r="BD47" s="1874"/>
      <c r="BE47" s="1874"/>
      <c r="BF47" s="1874"/>
    </row>
    <row customHeight="1" ht="11.25">
      <c r="A48" s="1180" t="s">
        <v>1962</v>
      </c>
      <c r="B48" s="1180"/>
      <c r="C48" s="1180"/>
      <c r="D48" s="1174"/>
      <c r="E48" s="1184"/>
      <c r="F48" s="1882"/>
      <c r="G48" s="1882"/>
      <c r="H48" s="1882"/>
      <c r="I48" s="1882"/>
      <c r="J48" s="1882"/>
      <c r="K48" s="1882"/>
      <c r="L48" s="1882"/>
      <c r="M48" s="1882"/>
      <c r="N48" s="1882"/>
      <c r="O48" s="1882"/>
      <c r="P48" s="1882"/>
      <c r="Q48" s="1882"/>
      <c r="R48" s="1882"/>
      <c r="S48" s="1882"/>
      <c r="T48" s="1882"/>
      <c r="U48" s="1882"/>
      <c r="V48" s="1882"/>
      <c r="W48" s="1882"/>
      <c r="X48" s="1882"/>
      <c r="Y48" s="1882"/>
      <c r="Z48" s="4144" t="s">
        <v>121</v>
      </c>
      <c r="AA48" s="1865" t="s">
        <v>110</v>
      </c>
      <c r="AB48" s="1194" t="s">
        <v>741</v>
      </c>
      <c r="AC48" s="1183">
        <v>3371.26</v>
      </c>
      <c r="AD48" s="1194" t="str">
        <f>AB48</f>
        <v>  Капитальные вложения (инвестиции), финансируемые за счет нормативной прибыли, учитываемой в необходимой валовой выручке</v>
      </c>
      <c r="AE48" s="1183">
        <v>3371.26</v>
      </c>
      <c r="AF48" s="1883"/>
      <c r="AG48" s="1805"/>
      <c r="AH48" s="1805"/>
      <c r="AI48" s="1883"/>
      <c r="AJ48" s="1805"/>
      <c r="AK48" s="1805"/>
      <c r="AL48" s="1187"/>
      <c r="AM48" s="1874"/>
      <c r="AN48" s="1874"/>
      <c r="AO48" s="1874"/>
      <c r="AP48" s="1874"/>
      <c r="AQ48" s="1874"/>
      <c r="AR48" s="1874"/>
      <c r="AS48" s="1874"/>
      <c r="AT48" s="1874"/>
      <c r="AU48" s="1874"/>
      <c r="AV48" s="1874"/>
      <c r="AW48" s="1874"/>
      <c r="AX48" s="1874"/>
      <c r="AY48" s="1874"/>
      <c r="AZ48" s="1874"/>
      <c r="BA48" s="1874"/>
      <c r="BB48" s="1874"/>
      <c r="BC48" s="1874"/>
      <c r="BD48" s="1874"/>
      <c r="BE48" s="1874"/>
      <c r="BF48" s="1874"/>
    </row>
    <row customHeight="1" ht="11.25">
      <c r="A49" s="1180" t="s">
        <v>1962</v>
      </c>
      <c r="B49" s="1180"/>
      <c r="C49" s="1180"/>
      <c r="D49" s="1174"/>
      <c r="E49" s="1184"/>
      <c r="F49" s="1881"/>
      <c r="G49" s="1882"/>
      <c r="H49" s="2094" t="s">
        <v>110</v>
      </c>
      <c r="I49" s="2095"/>
      <c r="J49" s="2096"/>
      <c r="K49" s="2097"/>
      <c r="L49" s="2086"/>
      <c r="M49" s="1947"/>
      <c r="N49" s="2087"/>
      <c r="O49" s="2088"/>
      <c r="P49" s="2091"/>
      <c r="Q49" s="2092"/>
      <c r="R49" s="2092"/>
      <c r="S49" s="2093"/>
      <c r="T49" s="2092"/>
      <c r="U49" s="2092"/>
      <c r="V49" s="2092"/>
      <c r="W49" s="2092"/>
      <c r="X49" s="2092"/>
      <c r="Y49" s="2092"/>
      <c r="Z49" s="1190"/>
      <c r="AA49" s="1191"/>
      <c r="AB49" s="1265" t="s">
        <v>408</v>
      </c>
      <c r="AC49" s="1195"/>
      <c r="AD49" s="1195"/>
      <c r="AE49" s="1197"/>
      <c r="AF49" s="2085"/>
      <c r="AG49" s="2086"/>
      <c r="AH49" s="2086"/>
      <c r="AI49" s="2085"/>
      <c r="AJ49" s="2086"/>
      <c r="AK49" s="2086"/>
      <c r="AL49" s="1187"/>
      <c r="AM49" s="1874"/>
      <c r="AN49" s="1874"/>
      <c r="AO49" s="1874"/>
      <c r="AP49" s="1874"/>
      <c r="AQ49" s="1874"/>
      <c r="AR49" s="1874"/>
      <c r="AS49" s="1874"/>
      <c r="AT49" s="1874"/>
      <c r="AU49" s="1874"/>
      <c r="AV49" s="1874"/>
      <c r="AW49" s="1874"/>
      <c r="AX49" s="1874"/>
      <c r="AY49" s="1874"/>
      <c r="AZ49" s="1874"/>
      <c r="BA49" s="1874"/>
      <c r="BB49" s="1874"/>
      <c r="BC49" s="1874"/>
      <c r="BD49" s="1874"/>
      <c r="BE49" s="1874"/>
      <c r="BF49" s="1874"/>
    </row>
    <row customHeight="1" ht="11.25">
      <c r="A50" s="1180" t="s">
        <v>1962</v>
      </c>
      <c r="B50" s="1180"/>
      <c r="C50" s="1180"/>
      <c r="D50" s="1174"/>
      <c r="E50" s="1184"/>
      <c r="F50" s="1881"/>
      <c r="G50" s="1882"/>
      <c r="H50" s="2094" t="s">
        <v>110</v>
      </c>
      <c r="I50" s="2095"/>
      <c r="J50" s="2096"/>
      <c r="K50" s="2097"/>
      <c r="L50" s="2086"/>
      <c r="M50" s="1947"/>
      <c r="N50" s="1191"/>
      <c r="O50" s="1191"/>
      <c r="P50" s="1182" t="s">
        <v>409</v>
      </c>
      <c r="Q50" s="1191"/>
      <c r="R50" s="1191"/>
      <c r="S50" s="1191"/>
      <c r="T50" s="1191"/>
      <c r="U50" s="1191"/>
      <c r="V50" s="1191"/>
      <c r="W50" s="1191"/>
      <c r="X50" s="1191"/>
      <c r="Y50" s="1191"/>
      <c r="Z50" s="1191"/>
      <c r="AA50" s="1191"/>
      <c r="AB50" s="1191"/>
      <c r="AC50" s="1191"/>
      <c r="AD50" s="1191"/>
      <c r="AE50" s="1198"/>
      <c r="AF50" s="2085"/>
      <c r="AG50" s="2086"/>
      <c r="AH50" s="2086"/>
      <c r="AI50" s="2085"/>
      <c r="AJ50" s="2086"/>
      <c r="AK50" s="2086"/>
      <c r="AL50" s="1187"/>
      <c r="AM50" s="1874"/>
      <c r="AN50" s="1874"/>
      <c r="AO50" s="1874"/>
      <c r="AP50" s="1874"/>
      <c r="AQ50" s="1874"/>
      <c r="AR50" s="1874"/>
      <c r="AS50" s="1874"/>
      <c r="AT50" s="1874"/>
      <c r="AU50" s="1874"/>
      <c r="AV50" s="1874"/>
      <c r="AW50" s="1874"/>
      <c r="AX50" s="1874"/>
      <c r="AY50" s="1874"/>
      <c r="AZ50" s="1874"/>
      <c r="BA50" s="1874"/>
      <c r="BB50" s="1874"/>
      <c r="BC50" s="1874"/>
      <c r="BD50" s="1874"/>
      <c r="BE50" s="1874"/>
      <c r="BF50" s="1874"/>
    </row>
    <row customHeight="1" ht="12">
      <c r="A51" s="1180" t="s">
        <v>1962</v>
      </c>
      <c r="B51" s="1180"/>
      <c r="C51" s="1180"/>
      <c r="D51" s="1174"/>
      <c r="E51" s="1184"/>
      <c r="F51" s="2115"/>
      <c r="G51" s="1206"/>
      <c r="H51" s="1206"/>
      <c r="I51" s="2113" t="s">
        <v>410</v>
      </c>
      <c r="J51" s="2113"/>
      <c r="K51" s="2113"/>
      <c r="L51" s="1188"/>
      <c r="M51" s="1188"/>
      <c r="N51" s="1189"/>
      <c r="O51" s="1189"/>
      <c r="P51" s="1189"/>
      <c r="Q51" s="1189"/>
      <c r="R51" s="1189"/>
      <c r="S51" s="1189"/>
      <c r="T51" s="1189"/>
      <c r="U51" s="1189"/>
      <c r="V51" s="1189"/>
      <c r="W51" s="1189"/>
      <c r="X51" s="1189"/>
      <c r="Y51" s="1189"/>
      <c r="Z51" s="1189"/>
      <c r="AA51" s="1189"/>
      <c r="AB51" s="1189"/>
      <c r="AC51" s="1189"/>
      <c r="AD51" s="1189"/>
      <c r="AE51" s="1189"/>
      <c r="AF51" s="1189"/>
      <c r="AG51" s="1188"/>
      <c r="AH51" s="1188"/>
      <c r="AI51" s="1189"/>
      <c r="AJ51" s="1188"/>
      <c r="AK51" s="1199"/>
      <c r="AL51" s="1187"/>
      <c r="AM51" s="1874"/>
      <c r="AN51" s="1874"/>
      <c r="AO51" s="1874"/>
      <c r="AP51" s="1874"/>
      <c r="AQ51" s="1874"/>
      <c r="AR51" s="1874"/>
      <c r="AS51" s="1874"/>
      <c r="AT51" s="1874"/>
      <c r="AU51" s="1874"/>
      <c r="AV51" s="1874"/>
      <c r="AW51" s="1874"/>
      <c r="AX51" s="1874"/>
      <c r="AY51" s="1874"/>
      <c r="AZ51" s="1874"/>
      <c r="BA51" s="1874"/>
      <c r="BB51" s="1874"/>
      <c r="BC51" s="1874"/>
      <c r="BD51" s="1874"/>
      <c r="BE51" s="1874"/>
      <c r="BF51" s="1874"/>
    </row>
    <row customHeight="1" ht="11.25">
      <c r="A52" s="1180" t="s">
        <v>1962</v>
      </c>
      <c r="B52" s="1180"/>
      <c r="C52" s="1180"/>
      <c r="D52" s="1174"/>
      <c r="E52" s="1184"/>
      <c r="F52" s="2114">
        <v>2021</v>
      </c>
      <c r="G52" s="2094"/>
      <c r="H52" s="2094" t="s">
        <v>109</v>
      </c>
      <c r="I52" s="2095"/>
      <c r="J52" s="2096"/>
      <c r="K52" s="2097" t="s">
        <v>1993</v>
      </c>
      <c r="L52" s="2086" t="s">
        <v>56</v>
      </c>
      <c r="M52" s="1947"/>
      <c r="N52" s="1193"/>
      <c r="O52" s="1192" t="s">
        <v>371</v>
      </c>
      <c r="P52" s="1193"/>
      <c r="Q52" s="1193"/>
      <c r="R52" s="1193"/>
      <c r="S52" s="1193"/>
      <c r="T52" s="1193"/>
      <c r="U52" s="1193"/>
      <c r="V52" s="1193"/>
      <c r="W52" s="1193"/>
      <c r="X52" s="1193"/>
      <c r="Y52" s="1193"/>
      <c r="Z52" s="1193"/>
      <c r="AA52" s="1193"/>
      <c r="AB52" s="1193"/>
      <c r="AC52" s="1193"/>
      <c r="AD52" s="1193"/>
      <c r="AE52" s="1193"/>
      <c r="AF52" s="2085">
        <v>2021</v>
      </c>
      <c r="AG52" s="2086" t="s">
        <v>835</v>
      </c>
      <c r="AH52" s="2086" t="s">
        <v>1994</v>
      </c>
      <c r="AI52" s="2085">
        <v>2021</v>
      </c>
      <c r="AJ52" s="2086" t="s">
        <v>835</v>
      </c>
      <c r="AK52" s="2086" t="s">
        <v>1994</v>
      </c>
      <c r="AL52" s="1187"/>
      <c r="AM52" s="1874"/>
      <c r="AN52" s="1874"/>
      <c r="AO52" s="1874"/>
      <c r="AP52" s="1874"/>
      <c r="AQ52" s="1874"/>
      <c r="AR52" s="1874"/>
      <c r="AS52" s="1874"/>
      <c r="AT52" s="1874"/>
      <c r="AU52" s="1874"/>
      <c r="AV52" s="1874"/>
      <c r="AW52" s="1874"/>
      <c r="AX52" s="1874"/>
      <c r="AY52" s="1874"/>
      <c r="AZ52" s="1874"/>
      <c r="BA52" s="1874"/>
      <c r="BB52" s="1874"/>
      <c r="BC52" s="1874"/>
      <c r="BD52" s="1874"/>
      <c r="BE52" s="1874"/>
      <c r="BF52" s="1874"/>
    </row>
    <row customHeight="1" ht="11.25">
      <c r="A53" s="1180" t="s">
        <v>1962</v>
      </c>
      <c r="B53" s="1180"/>
      <c r="C53" s="1180"/>
      <c r="D53" s="1174"/>
      <c r="E53" s="1184"/>
      <c r="F53" s="2114"/>
      <c r="G53" s="2094"/>
      <c r="H53" s="2094"/>
      <c r="I53" s="2095"/>
      <c r="J53" s="2096"/>
      <c r="K53" s="2097"/>
      <c r="L53" s="2086"/>
      <c r="M53" s="1947"/>
      <c r="N53" s="2087"/>
      <c r="O53" s="2088">
        <v>1</v>
      </c>
      <c r="P53" s="2089" t="s">
        <v>56</v>
      </c>
      <c r="Q53" s="2092" t="s">
        <v>18</v>
      </c>
      <c r="R53" s="2092" t="s">
        <v>18</v>
      </c>
      <c r="S53" s="2092" t="s">
        <v>18</v>
      </c>
      <c r="T53" s="2092" t="s">
        <v>18</v>
      </c>
      <c r="U53" s="2092" t="s">
        <v>18</v>
      </c>
      <c r="V53" s="2092" t="s">
        <v>18</v>
      </c>
      <c r="W53" s="2092" t="s">
        <v>18</v>
      </c>
      <c r="X53" s="2092" t="s">
        <v>18</v>
      </c>
      <c r="Y53" s="2092"/>
      <c r="Z53" s="1190"/>
      <c r="AA53" s="1191"/>
      <c r="AB53" s="1191"/>
      <c r="AC53" s="1195"/>
      <c r="AD53" s="1195"/>
      <c r="AE53" s="1196"/>
      <c r="AF53" s="2085"/>
      <c r="AG53" s="2086"/>
      <c r="AH53" s="2086"/>
      <c r="AI53" s="2085"/>
      <c r="AJ53" s="2086"/>
      <c r="AK53" s="2086"/>
      <c r="AL53" s="1187"/>
      <c r="AM53" s="1874"/>
      <c r="AN53" s="1874"/>
      <c r="AO53" s="1874"/>
      <c r="AP53" s="1874"/>
      <c r="AQ53" s="1874"/>
      <c r="AR53" s="1874"/>
      <c r="AS53" s="1874"/>
      <c r="AT53" s="1874"/>
      <c r="AU53" s="1874"/>
      <c r="AV53" s="1874"/>
      <c r="AW53" s="1874"/>
      <c r="AX53" s="1874"/>
      <c r="AY53" s="1874"/>
      <c r="AZ53" s="1874"/>
      <c r="BA53" s="1874"/>
      <c r="BB53" s="1874"/>
      <c r="BC53" s="1874"/>
      <c r="BD53" s="1874"/>
      <c r="BE53" s="1874"/>
      <c r="BF53" s="1874"/>
    </row>
    <row customHeight="1" ht="11.25">
      <c r="A54" s="1180" t="s">
        <v>1962</v>
      </c>
      <c r="B54" s="1180"/>
      <c r="C54" s="1180"/>
      <c r="D54" s="1174"/>
      <c r="E54" s="1184"/>
      <c r="F54" s="2114"/>
      <c r="G54" s="2094"/>
      <c r="H54" s="2094"/>
      <c r="I54" s="2095"/>
      <c r="J54" s="2096"/>
      <c r="K54" s="2097"/>
      <c r="L54" s="2086"/>
      <c r="M54" s="1947"/>
      <c r="N54" s="2087"/>
      <c r="O54" s="2088"/>
      <c r="P54" s="2090"/>
      <c r="Q54" s="2092"/>
      <c r="R54" s="2092"/>
      <c r="S54" s="2093"/>
      <c r="T54" s="2092"/>
      <c r="U54" s="2092"/>
      <c r="V54" s="2092"/>
      <c r="W54" s="2092"/>
      <c r="X54" s="2092"/>
      <c r="Y54" s="2092"/>
      <c r="Z54" s="1880"/>
      <c r="AA54" s="1845">
        <v>1</v>
      </c>
      <c r="AB54" s="1194" t="s">
        <v>804</v>
      </c>
      <c r="AC54" s="1183">
        <v>12196.35</v>
      </c>
      <c r="AD54" s="1194" t="str">
        <f>AB54</f>
        <v>     Прочие амортизационные отчисления</v>
      </c>
      <c r="AE54" s="1183">
        <v>12196.35</v>
      </c>
      <c r="AF54" s="2085"/>
      <c r="AG54" s="2086"/>
      <c r="AH54" s="2086"/>
      <c r="AI54" s="2085"/>
      <c r="AJ54" s="2086"/>
      <c r="AK54" s="2086"/>
      <c r="AL54" s="1187"/>
      <c r="AM54" s="1874"/>
      <c r="AN54" s="1874"/>
      <c r="AO54" s="1874"/>
      <c r="AP54" s="1874"/>
      <c r="AQ54" s="1874"/>
      <c r="AR54" s="1874"/>
      <c r="AS54" s="1874"/>
      <c r="AT54" s="1874"/>
      <c r="AU54" s="1874"/>
      <c r="AV54" s="1874"/>
      <c r="AW54" s="1874"/>
      <c r="AX54" s="1874"/>
      <c r="AY54" s="1874"/>
      <c r="AZ54" s="1874"/>
      <c r="BA54" s="1874"/>
      <c r="BB54" s="1874"/>
      <c r="BC54" s="1874"/>
      <c r="BD54" s="1874"/>
      <c r="BE54" s="1874"/>
      <c r="BF54" s="1874"/>
    </row>
    <row customHeight="1" ht="11.25">
      <c r="A55" s="1180" t="s">
        <v>1962</v>
      </c>
      <c r="B55" s="1180"/>
      <c r="C55" s="1180"/>
      <c r="D55" s="1174"/>
      <c r="E55" s="1184"/>
      <c r="F55" s="2114"/>
      <c r="G55" s="2094"/>
      <c r="H55" s="2094"/>
      <c r="I55" s="2095"/>
      <c r="J55" s="2096"/>
      <c r="K55" s="2097"/>
      <c r="L55" s="2086"/>
      <c r="M55" s="1947"/>
      <c r="N55" s="2087"/>
      <c r="O55" s="2088"/>
      <c r="P55" s="2091"/>
      <c r="Q55" s="2092"/>
      <c r="R55" s="2092"/>
      <c r="S55" s="2093"/>
      <c r="T55" s="2092"/>
      <c r="U55" s="2092"/>
      <c r="V55" s="2092"/>
      <c r="W55" s="2092"/>
      <c r="X55" s="2092"/>
      <c r="Y55" s="2092"/>
      <c r="Z55" s="1190"/>
      <c r="AA55" s="1191"/>
      <c r="AB55" s="1265" t="s">
        <v>408</v>
      </c>
      <c r="AC55" s="1195"/>
      <c r="AD55" s="1195"/>
      <c r="AE55" s="1197"/>
      <c r="AF55" s="2085"/>
      <c r="AG55" s="2086"/>
      <c r="AH55" s="2086"/>
      <c r="AI55" s="2085"/>
      <c r="AJ55" s="2086"/>
      <c r="AK55" s="2086"/>
      <c r="AL55" s="1187"/>
      <c r="AM55" s="1874"/>
      <c r="AN55" s="1874"/>
      <c r="AO55" s="1874"/>
      <c r="AP55" s="1874"/>
      <c r="AQ55" s="1874"/>
      <c r="AR55" s="1874"/>
      <c r="AS55" s="1874"/>
      <c r="AT55" s="1874"/>
      <c r="AU55" s="1874"/>
      <c r="AV55" s="1874"/>
      <c r="AW55" s="1874"/>
      <c r="AX55" s="1874"/>
      <c r="AY55" s="1874"/>
      <c r="AZ55" s="1874"/>
      <c r="BA55" s="1874"/>
      <c r="BB55" s="1874"/>
      <c r="BC55" s="1874"/>
      <c r="BD55" s="1874"/>
      <c r="BE55" s="1874"/>
      <c r="BF55" s="1874"/>
    </row>
    <row customHeight="1" ht="11.25">
      <c r="A56" s="1180" t="s">
        <v>1962</v>
      </c>
      <c r="B56" s="1180"/>
      <c r="C56" s="1180"/>
      <c r="D56" s="1174"/>
      <c r="E56" s="1184"/>
      <c r="F56" s="2114"/>
      <c r="G56" s="2094"/>
      <c r="H56" s="2094"/>
      <c r="I56" s="2095"/>
      <c r="J56" s="2096"/>
      <c r="K56" s="2097"/>
      <c r="L56" s="2086"/>
      <c r="M56" s="1947"/>
      <c r="N56" s="1191"/>
      <c r="O56" s="1191"/>
      <c r="P56" s="1182" t="s">
        <v>409</v>
      </c>
      <c r="Q56" s="1191"/>
      <c r="R56" s="1191"/>
      <c r="S56" s="1191"/>
      <c r="T56" s="1191"/>
      <c r="U56" s="1191"/>
      <c r="V56" s="1191"/>
      <c r="W56" s="1191"/>
      <c r="X56" s="1191"/>
      <c r="Y56" s="1191"/>
      <c r="Z56" s="1191"/>
      <c r="AA56" s="1191"/>
      <c r="AB56" s="1191"/>
      <c r="AC56" s="1191"/>
      <c r="AD56" s="1191"/>
      <c r="AE56" s="1198"/>
      <c r="AF56" s="2085"/>
      <c r="AG56" s="2086"/>
      <c r="AH56" s="2086"/>
      <c r="AI56" s="2085"/>
      <c r="AJ56" s="2086"/>
      <c r="AK56" s="2086"/>
      <c r="AL56" s="1187"/>
      <c r="AM56" s="1874"/>
      <c r="AN56" s="1874"/>
      <c r="AO56" s="1874"/>
      <c r="AP56" s="1874"/>
      <c r="AQ56" s="1874"/>
      <c r="AR56" s="1874"/>
      <c r="AS56" s="1874"/>
      <c r="AT56" s="1874"/>
      <c r="AU56" s="1874"/>
      <c r="AV56" s="1874"/>
      <c r="AW56" s="1874"/>
      <c r="AX56" s="1874"/>
      <c r="AY56" s="1874"/>
      <c r="AZ56" s="1874"/>
      <c r="BA56" s="1874"/>
      <c r="BB56" s="1874"/>
      <c r="BC56" s="1874"/>
      <c r="BD56" s="1874"/>
      <c r="BE56" s="1874"/>
      <c r="BF56" s="1874"/>
    </row>
    <row customHeight="1" ht="11.25">
      <c r="A57" s="1180" t="s">
        <v>1962</v>
      </c>
      <c r="B57" s="1180"/>
      <c r="C57" s="1180"/>
      <c r="D57" s="1174"/>
      <c r="E57" s="1184"/>
      <c r="F57" s="1881"/>
      <c r="G57" s="4144" t="s">
        <v>121</v>
      </c>
      <c r="H57" s="2094" t="s">
        <v>110</v>
      </c>
      <c r="I57" s="2095"/>
      <c r="J57" s="2096"/>
      <c r="K57" s="2097" t="s">
        <v>1995</v>
      </c>
      <c r="L57" s="2086" t="s">
        <v>56</v>
      </c>
      <c r="M57" s="1947"/>
      <c r="N57" s="1193"/>
      <c r="O57" s="1192" t="s">
        <v>371</v>
      </c>
      <c r="P57" s="1193"/>
      <c r="Q57" s="1193"/>
      <c r="R57" s="1193"/>
      <c r="S57" s="1193"/>
      <c r="T57" s="1193"/>
      <c r="U57" s="1193"/>
      <c r="V57" s="1193"/>
      <c r="W57" s="1193"/>
      <c r="X57" s="1193"/>
      <c r="Y57" s="1193"/>
      <c r="Z57" s="1193"/>
      <c r="AA57" s="1193"/>
      <c r="AB57" s="1193"/>
      <c r="AC57" s="1193"/>
      <c r="AD57" s="1193"/>
      <c r="AE57" s="1193"/>
      <c r="AF57" s="2085">
        <v>2023</v>
      </c>
      <c r="AG57" s="2086" t="s">
        <v>835</v>
      </c>
      <c r="AH57" s="2086" t="s">
        <v>1996</v>
      </c>
      <c r="AI57" s="2085">
        <v>2023</v>
      </c>
      <c r="AJ57" s="2086" t="s">
        <v>835</v>
      </c>
      <c r="AK57" s="2086" t="s">
        <v>1996</v>
      </c>
      <c r="AL57" s="1187"/>
      <c r="AM57" s="1874"/>
      <c r="AN57" s="1874"/>
      <c r="AO57" s="1874"/>
      <c r="AP57" s="1874"/>
      <c r="AQ57" s="1874"/>
      <c r="AR57" s="1874"/>
      <c r="AS57" s="1874"/>
      <c r="AT57" s="1874"/>
      <c r="AU57" s="1874"/>
      <c r="AV57" s="1874"/>
      <c r="AW57" s="1874"/>
      <c r="AX57" s="1874"/>
      <c r="AY57" s="1874"/>
      <c r="AZ57" s="1874"/>
      <c r="BA57" s="1874"/>
      <c r="BB57" s="1874"/>
      <c r="BC57" s="1874"/>
      <c r="BD57" s="1874"/>
      <c r="BE57" s="1874"/>
      <c r="BF57" s="1874"/>
    </row>
    <row customHeight="1" ht="11.25">
      <c r="A58" s="1180" t="s">
        <v>1962</v>
      </c>
      <c r="B58" s="1180"/>
      <c r="C58" s="1180"/>
      <c r="D58" s="1174"/>
      <c r="E58" s="1184"/>
      <c r="F58" s="1881"/>
      <c r="G58" s="1882"/>
      <c r="H58" s="2094" t="s">
        <v>109</v>
      </c>
      <c r="I58" s="2095"/>
      <c r="J58" s="2096"/>
      <c r="K58" s="2097"/>
      <c r="L58" s="2086"/>
      <c r="M58" s="1947"/>
      <c r="N58" s="2087"/>
      <c r="O58" s="2088">
        <v>1</v>
      </c>
      <c r="P58" s="2089" t="s">
        <v>56</v>
      </c>
      <c r="Q58" s="2092" t="s">
        <v>18</v>
      </c>
      <c r="R58" s="2092" t="s">
        <v>18</v>
      </c>
      <c r="S58" s="2092" t="s">
        <v>18</v>
      </c>
      <c r="T58" s="2092" t="s">
        <v>18</v>
      </c>
      <c r="U58" s="2092" t="s">
        <v>18</v>
      </c>
      <c r="V58" s="2092" t="s">
        <v>18</v>
      </c>
      <c r="W58" s="2092" t="s">
        <v>18</v>
      </c>
      <c r="X58" s="2092" t="s">
        <v>18</v>
      </c>
      <c r="Y58" s="2092"/>
      <c r="Z58" s="1190"/>
      <c r="AA58" s="1191"/>
      <c r="AB58" s="1191"/>
      <c r="AC58" s="1195"/>
      <c r="AD58" s="1195"/>
      <c r="AE58" s="1196"/>
      <c r="AF58" s="2085"/>
      <c r="AG58" s="2086"/>
      <c r="AH58" s="2086"/>
      <c r="AI58" s="2085"/>
      <c r="AJ58" s="2086"/>
      <c r="AK58" s="2086"/>
      <c r="AL58" s="1187"/>
      <c r="AM58" s="1874"/>
      <c r="AN58" s="1874"/>
      <c r="AO58" s="1874"/>
      <c r="AP58" s="1874"/>
      <c r="AQ58" s="1874"/>
      <c r="AR58" s="1874"/>
      <c r="AS58" s="1874"/>
      <c r="AT58" s="1874"/>
      <c r="AU58" s="1874"/>
      <c r="AV58" s="1874"/>
      <c r="AW58" s="1874"/>
      <c r="AX58" s="1874"/>
      <c r="AY58" s="1874"/>
      <c r="AZ58" s="1874"/>
      <c r="BA58" s="1874"/>
      <c r="BB58" s="1874"/>
      <c r="BC58" s="1874"/>
      <c r="BD58" s="1874"/>
      <c r="BE58" s="1874"/>
      <c r="BF58" s="1874"/>
    </row>
    <row customHeight="1" ht="11.25">
      <c r="A59" s="1180" t="s">
        <v>1962</v>
      </c>
      <c r="B59" s="1180"/>
      <c r="C59" s="1180"/>
      <c r="D59" s="1174"/>
      <c r="E59" s="1184"/>
      <c r="F59" s="1881"/>
      <c r="G59" s="1882"/>
      <c r="H59" s="2094" t="s">
        <v>109</v>
      </c>
      <c r="I59" s="2095"/>
      <c r="J59" s="2096"/>
      <c r="K59" s="2097"/>
      <c r="L59" s="2086"/>
      <c r="M59" s="1947"/>
      <c r="N59" s="2087"/>
      <c r="O59" s="2088"/>
      <c r="P59" s="2090"/>
      <c r="Q59" s="2092"/>
      <c r="R59" s="2092"/>
      <c r="S59" s="2093"/>
      <c r="T59" s="2092"/>
      <c r="U59" s="2092"/>
      <c r="V59" s="2092"/>
      <c r="W59" s="2092"/>
      <c r="X59" s="2092"/>
      <c r="Y59" s="2092"/>
      <c r="Z59" s="1880"/>
      <c r="AA59" s="1845">
        <v>1</v>
      </c>
      <c r="AB59" s="1194" t="s">
        <v>804</v>
      </c>
      <c r="AC59" s="1183">
        <v>569.43</v>
      </c>
      <c r="AD59" s="1194" t="str">
        <f>AB59</f>
        <v>     Прочие амортизационные отчисления</v>
      </c>
      <c r="AE59" s="1183">
        <v>569.43</v>
      </c>
      <c r="AF59" s="2085"/>
      <c r="AG59" s="2086"/>
      <c r="AH59" s="2086"/>
      <c r="AI59" s="2085"/>
      <c r="AJ59" s="2086"/>
      <c r="AK59" s="2086"/>
      <c r="AL59" s="1187"/>
      <c r="AM59" s="1874"/>
      <c r="AN59" s="1874"/>
      <c r="AO59" s="1874"/>
      <c r="AP59" s="1874"/>
      <c r="AQ59" s="1874"/>
      <c r="AR59" s="1874"/>
      <c r="AS59" s="1874"/>
      <c r="AT59" s="1874"/>
      <c r="AU59" s="1874"/>
      <c r="AV59" s="1874"/>
      <c r="AW59" s="1874"/>
      <c r="AX59" s="1874"/>
      <c r="AY59" s="1874"/>
      <c r="AZ59" s="1874"/>
      <c r="BA59" s="1874"/>
      <c r="BB59" s="1874"/>
      <c r="BC59" s="1874"/>
      <c r="BD59" s="1874"/>
      <c r="BE59" s="1874"/>
      <c r="BF59" s="1874"/>
    </row>
    <row customHeight="1" ht="11.25">
      <c r="A60" s="1180" t="s">
        <v>1962</v>
      </c>
      <c r="B60" s="1180"/>
      <c r="C60" s="1180"/>
      <c r="D60" s="1174"/>
      <c r="E60" s="1184"/>
      <c r="F60" s="1881"/>
      <c r="G60" s="1882"/>
      <c r="H60" s="2094" t="s">
        <v>109</v>
      </c>
      <c r="I60" s="2095"/>
      <c r="J60" s="2096"/>
      <c r="K60" s="2097"/>
      <c r="L60" s="2086"/>
      <c r="M60" s="1947"/>
      <c r="N60" s="2087"/>
      <c r="O60" s="2088"/>
      <c r="P60" s="2091"/>
      <c r="Q60" s="2092"/>
      <c r="R60" s="2092"/>
      <c r="S60" s="2093"/>
      <c r="T60" s="2092"/>
      <c r="U60" s="2092"/>
      <c r="V60" s="2092"/>
      <c r="W60" s="2092"/>
      <c r="X60" s="2092"/>
      <c r="Y60" s="2092"/>
      <c r="Z60" s="1190"/>
      <c r="AA60" s="1191"/>
      <c r="AB60" s="1265" t="s">
        <v>408</v>
      </c>
      <c r="AC60" s="1195"/>
      <c r="AD60" s="1195"/>
      <c r="AE60" s="1197"/>
      <c r="AF60" s="2085"/>
      <c r="AG60" s="2086"/>
      <c r="AH60" s="2086"/>
      <c r="AI60" s="2085"/>
      <c r="AJ60" s="2086"/>
      <c r="AK60" s="2086"/>
      <c r="AL60" s="1187"/>
      <c r="AM60" s="1874"/>
      <c r="AN60" s="1874"/>
      <c r="AO60" s="1874"/>
      <c r="AP60" s="1874"/>
      <c r="AQ60" s="1874"/>
      <c r="AR60" s="1874"/>
      <c r="AS60" s="1874"/>
      <c r="AT60" s="1874"/>
      <c r="AU60" s="1874"/>
      <c r="AV60" s="1874"/>
      <c r="AW60" s="1874"/>
      <c r="AX60" s="1874"/>
      <c r="AY60" s="1874"/>
      <c r="AZ60" s="1874"/>
      <c r="BA60" s="1874"/>
      <c r="BB60" s="1874"/>
      <c r="BC60" s="1874"/>
      <c r="BD60" s="1874"/>
      <c r="BE60" s="1874"/>
      <c r="BF60" s="1874"/>
    </row>
    <row customHeight="1" ht="11.25">
      <c r="A61" s="1180" t="s">
        <v>1962</v>
      </c>
      <c r="B61" s="1180"/>
      <c r="C61" s="1180"/>
      <c r="D61" s="1174"/>
      <c r="E61" s="1184"/>
      <c r="F61" s="1881"/>
      <c r="G61" s="1882"/>
      <c r="H61" s="2094" t="s">
        <v>109</v>
      </c>
      <c r="I61" s="2095"/>
      <c r="J61" s="2096"/>
      <c r="K61" s="2097"/>
      <c r="L61" s="2086"/>
      <c r="M61" s="1947"/>
      <c r="N61" s="1191"/>
      <c r="O61" s="1191"/>
      <c r="P61" s="1182" t="s">
        <v>409</v>
      </c>
      <c r="Q61" s="1191"/>
      <c r="R61" s="1191"/>
      <c r="S61" s="1191"/>
      <c r="T61" s="1191"/>
      <c r="U61" s="1191"/>
      <c r="V61" s="1191"/>
      <c r="W61" s="1191"/>
      <c r="X61" s="1191"/>
      <c r="Y61" s="1191"/>
      <c r="Z61" s="1191"/>
      <c r="AA61" s="1191"/>
      <c r="AB61" s="1191"/>
      <c r="AC61" s="1191"/>
      <c r="AD61" s="1191"/>
      <c r="AE61" s="1198"/>
      <c r="AF61" s="2085"/>
      <c r="AG61" s="2086"/>
      <c r="AH61" s="2086"/>
      <c r="AI61" s="2085"/>
      <c r="AJ61" s="2086"/>
      <c r="AK61" s="2086"/>
      <c r="AL61" s="1187"/>
      <c r="AM61" s="1874"/>
      <c r="AN61" s="1874"/>
      <c r="AO61" s="1874"/>
      <c r="AP61" s="1874"/>
      <c r="AQ61" s="1874"/>
      <c r="AR61" s="1874"/>
      <c r="AS61" s="1874"/>
      <c r="AT61" s="1874"/>
      <c r="AU61" s="1874"/>
      <c r="AV61" s="1874"/>
      <c r="AW61" s="1874"/>
      <c r="AX61" s="1874"/>
      <c r="AY61" s="1874"/>
      <c r="AZ61" s="1874"/>
      <c r="BA61" s="1874"/>
      <c r="BB61" s="1874"/>
      <c r="BC61" s="1874"/>
      <c r="BD61" s="1874"/>
      <c r="BE61" s="1874"/>
      <c r="BF61" s="1874"/>
    </row>
    <row customHeight="1" ht="11.25">
      <c r="A62" s="1180" t="s">
        <v>1962</v>
      </c>
      <c r="B62" s="1180"/>
      <c r="C62" s="1180"/>
      <c r="D62" s="1174"/>
      <c r="E62" s="1184"/>
      <c r="F62" s="1881"/>
      <c r="G62" s="4144" t="s">
        <v>121</v>
      </c>
      <c r="H62" s="2094" t="s">
        <v>90</v>
      </c>
      <c r="I62" s="2095"/>
      <c r="J62" s="2096"/>
      <c r="K62" s="2097" t="s">
        <v>1997</v>
      </c>
      <c r="L62" s="2086" t="s">
        <v>56</v>
      </c>
      <c r="M62" s="1947"/>
      <c r="N62" s="1193"/>
      <c r="O62" s="1192" t="s">
        <v>371</v>
      </c>
      <c r="P62" s="1193"/>
      <c r="Q62" s="1193"/>
      <c r="R62" s="1193"/>
      <c r="S62" s="1193"/>
      <c r="T62" s="1193"/>
      <c r="U62" s="1193"/>
      <c r="V62" s="1193"/>
      <c r="W62" s="1193"/>
      <c r="X62" s="1193"/>
      <c r="Y62" s="1193"/>
      <c r="Z62" s="1193"/>
      <c r="AA62" s="1193"/>
      <c r="AB62" s="1193"/>
      <c r="AC62" s="1193"/>
      <c r="AD62" s="1193"/>
      <c r="AE62" s="1193"/>
      <c r="AF62" s="2085">
        <v>2023</v>
      </c>
      <c r="AG62" s="2086" t="s">
        <v>835</v>
      </c>
      <c r="AH62" s="2086" t="s">
        <v>1996</v>
      </c>
      <c r="AI62" s="2085">
        <v>2023</v>
      </c>
      <c r="AJ62" s="2086" t="s">
        <v>835</v>
      </c>
      <c r="AK62" s="2086" t="s">
        <v>1996</v>
      </c>
      <c r="AL62" s="1187"/>
      <c r="AM62" s="1874"/>
      <c r="AN62" s="1874"/>
      <c r="AO62" s="1874"/>
      <c r="AP62" s="1874"/>
      <c r="AQ62" s="1874"/>
      <c r="AR62" s="1874"/>
      <c r="AS62" s="1874"/>
      <c r="AT62" s="1874"/>
      <c r="AU62" s="1874"/>
      <c r="AV62" s="1874"/>
      <c r="AW62" s="1874"/>
      <c r="AX62" s="1874"/>
      <c r="AY62" s="1874"/>
      <c r="AZ62" s="1874"/>
      <c r="BA62" s="1874"/>
      <c r="BB62" s="1874"/>
      <c r="BC62" s="1874"/>
      <c r="BD62" s="1874"/>
      <c r="BE62" s="1874"/>
      <c r="BF62" s="1874"/>
    </row>
    <row customHeight="1" ht="11.25">
      <c r="A63" s="1180" t="s">
        <v>1962</v>
      </c>
      <c r="B63" s="1180"/>
      <c r="C63" s="1180"/>
      <c r="D63" s="1174"/>
      <c r="E63" s="1184"/>
      <c r="F63" s="1881"/>
      <c r="G63" s="1882"/>
      <c r="H63" s="2094" t="s">
        <v>110</v>
      </c>
      <c r="I63" s="2095"/>
      <c r="J63" s="2096"/>
      <c r="K63" s="2097"/>
      <c r="L63" s="2086"/>
      <c r="M63" s="1947"/>
      <c r="N63" s="2087"/>
      <c r="O63" s="2088">
        <v>1</v>
      </c>
      <c r="P63" s="2089" t="s">
        <v>56</v>
      </c>
      <c r="Q63" s="2092" t="s">
        <v>18</v>
      </c>
      <c r="R63" s="2092" t="s">
        <v>18</v>
      </c>
      <c r="S63" s="2092" t="s">
        <v>18</v>
      </c>
      <c r="T63" s="2092" t="s">
        <v>18</v>
      </c>
      <c r="U63" s="2092" t="s">
        <v>18</v>
      </c>
      <c r="V63" s="2092" t="s">
        <v>18</v>
      </c>
      <c r="W63" s="2092" t="s">
        <v>18</v>
      </c>
      <c r="X63" s="2092" t="s">
        <v>18</v>
      </c>
      <c r="Y63" s="2092"/>
      <c r="Z63" s="1190"/>
      <c r="AA63" s="1191"/>
      <c r="AB63" s="1191"/>
      <c r="AC63" s="1195"/>
      <c r="AD63" s="1195"/>
      <c r="AE63" s="1196"/>
      <c r="AF63" s="2085"/>
      <c r="AG63" s="2086"/>
      <c r="AH63" s="2086"/>
      <c r="AI63" s="2085"/>
      <c r="AJ63" s="2086"/>
      <c r="AK63" s="2086"/>
      <c r="AL63" s="1187"/>
      <c r="AM63" s="1874"/>
      <c r="AN63" s="1874"/>
      <c r="AO63" s="1874"/>
      <c r="AP63" s="1874"/>
      <c r="AQ63" s="1874"/>
      <c r="AR63" s="1874"/>
      <c r="AS63" s="1874"/>
      <c r="AT63" s="1874"/>
      <c r="AU63" s="1874"/>
      <c r="AV63" s="1874"/>
      <c r="AW63" s="1874"/>
      <c r="AX63" s="1874"/>
      <c r="AY63" s="1874"/>
      <c r="AZ63" s="1874"/>
      <c r="BA63" s="1874"/>
      <c r="BB63" s="1874"/>
      <c r="BC63" s="1874"/>
      <c r="BD63" s="1874"/>
      <c r="BE63" s="1874"/>
      <c r="BF63" s="1874"/>
    </row>
    <row customHeight="1" ht="11.25">
      <c r="A64" s="1180" t="s">
        <v>1962</v>
      </c>
      <c r="B64" s="1180"/>
      <c r="C64" s="1180"/>
      <c r="D64" s="1174"/>
      <c r="E64" s="1184"/>
      <c r="F64" s="1881"/>
      <c r="G64" s="1882"/>
      <c r="H64" s="2094" t="s">
        <v>110</v>
      </c>
      <c r="I64" s="2095"/>
      <c r="J64" s="2096"/>
      <c r="K64" s="2097"/>
      <c r="L64" s="2086"/>
      <c r="M64" s="1947"/>
      <c r="N64" s="2087"/>
      <c r="O64" s="2088"/>
      <c r="P64" s="2090"/>
      <c r="Q64" s="2092"/>
      <c r="R64" s="2092"/>
      <c r="S64" s="2093"/>
      <c r="T64" s="2092"/>
      <c r="U64" s="2092"/>
      <c r="V64" s="2092"/>
      <c r="W64" s="2092"/>
      <c r="X64" s="2092"/>
      <c r="Y64" s="2092"/>
      <c r="Z64" s="1880"/>
      <c r="AA64" s="1845">
        <v>1</v>
      </c>
      <c r="AB64" s="1194" t="s">
        <v>804</v>
      </c>
      <c r="AC64" s="1183">
        <v>18994.47</v>
      </c>
      <c r="AD64" s="1194" t="str">
        <f>AB64</f>
        <v>     Прочие амортизационные отчисления</v>
      </c>
      <c r="AE64" s="1183">
        <v>18994.47</v>
      </c>
      <c r="AF64" s="2085"/>
      <c r="AG64" s="2086"/>
      <c r="AH64" s="2086"/>
      <c r="AI64" s="2085"/>
      <c r="AJ64" s="2086"/>
      <c r="AK64" s="2086"/>
      <c r="AL64" s="1187"/>
      <c r="AM64" s="1874"/>
      <c r="AN64" s="1874"/>
      <c r="AO64" s="1874"/>
      <c r="AP64" s="1874"/>
      <c r="AQ64" s="1874"/>
      <c r="AR64" s="1874"/>
      <c r="AS64" s="1874"/>
      <c r="AT64" s="1874"/>
      <c r="AU64" s="1874"/>
      <c r="AV64" s="1874"/>
      <c r="AW64" s="1874"/>
      <c r="AX64" s="1874"/>
      <c r="AY64" s="1874"/>
      <c r="AZ64" s="1874"/>
      <c r="BA64" s="1874"/>
      <c r="BB64" s="1874"/>
      <c r="BC64" s="1874"/>
      <c r="BD64" s="1874"/>
      <c r="BE64" s="1874"/>
      <c r="BF64" s="1874"/>
    </row>
    <row customHeight="1" ht="11.25">
      <c r="A65" s="1180" t="s">
        <v>1962</v>
      </c>
      <c r="B65" s="1180"/>
      <c r="C65" s="1180"/>
      <c r="D65" s="1174"/>
      <c r="E65" s="1184"/>
      <c r="F65" s="1881"/>
      <c r="G65" s="1882"/>
      <c r="H65" s="2094" t="s">
        <v>110</v>
      </c>
      <c r="I65" s="2095"/>
      <c r="J65" s="2096"/>
      <c r="K65" s="2097"/>
      <c r="L65" s="2086"/>
      <c r="M65" s="1947"/>
      <c r="N65" s="2087"/>
      <c r="O65" s="2088"/>
      <c r="P65" s="2091"/>
      <c r="Q65" s="2092"/>
      <c r="R65" s="2092"/>
      <c r="S65" s="2093"/>
      <c r="T65" s="2092"/>
      <c r="U65" s="2092"/>
      <c r="V65" s="2092"/>
      <c r="W65" s="2092"/>
      <c r="X65" s="2092"/>
      <c r="Y65" s="2092"/>
      <c r="Z65" s="1190"/>
      <c r="AA65" s="1191"/>
      <c r="AB65" s="1265" t="s">
        <v>408</v>
      </c>
      <c r="AC65" s="1195"/>
      <c r="AD65" s="1195"/>
      <c r="AE65" s="1197"/>
      <c r="AF65" s="2085"/>
      <c r="AG65" s="2086"/>
      <c r="AH65" s="2086"/>
      <c r="AI65" s="2085"/>
      <c r="AJ65" s="2086"/>
      <c r="AK65" s="2086"/>
      <c r="AL65" s="1187"/>
      <c r="AM65" s="1874"/>
      <c r="AN65" s="1874"/>
      <c r="AO65" s="1874"/>
      <c r="AP65" s="1874"/>
      <c r="AQ65" s="1874"/>
      <c r="AR65" s="1874"/>
      <c r="AS65" s="1874"/>
      <c r="AT65" s="1874"/>
      <c r="AU65" s="1874"/>
      <c r="AV65" s="1874"/>
      <c r="AW65" s="1874"/>
      <c r="AX65" s="1874"/>
      <c r="AY65" s="1874"/>
      <c r="AZ65" s="1874"/>
      <c r="BA65" s="1874"/>
      <c r="BB65" s="1874"/>
      <c r="BC65" s="1874"/>
      <c r="BD65" s="1874"/>
      <c r="BE65" s="1874"/>
      <c r="BF65" s="1874"/>
    </row>
    <row customHeight="1" ht="11.25">
      <c r="A66" s="1180" t="s">
        <v>1962</v>
      </c>
      <c r="B66" s="1180"/>
      <c r="C66" s="1180"/>
      <c r="D66" s="1174"/>
      <c r="E66" s="1184"/>
      <c r="F66" s="1881"/>
      <c r="G66" s="1882"/>
      <c r="H66" s="2094" t="s">
        <v>110</v>
      </c>
      <c r="I66" s="2095"/>
      <c r="J66" s="2096"/>
      <c r="K66" s="2097"/>
      <c r="L66" s="2086"/>
      <c r="M66" s="1947"/>
      <c r="N66" s="1191"/>
      <c r="O66" s="1191"/>
      <c r="P66" s="1182" t="s">
        <v>409</v>
      </c>
      <c r="Q66" s="1191"/>
      <c r="R66" s="1191"/>
      <c r="S66" s="1191"/>
      <c r="T66" s="1191"/>
      <c r="U66" s="1191"/>
      <c r="V66" s="1191"/>
      <c r="W66" s="1191"/>
      <c r="X66" s="1191"/>
      <c r="Y66" s="1191"/>
      <c r="Z66" s="1191"/>
      <c r="AA66" s="1191"/>
      <c r="AB66" s="1191"/>
      <c r="AC66" s="1191"/>
      <c r="AD66" s="1191"/>
      <c r="AE66" s="1198"/>
      <c r="AF66" s="2085"/>
      <c r="AG66" s="2086"/>
      <c r="AH66" s="2086"/>
      <c r="AI66" s="2085"/>
      <c r="AJ66" s="2086"/>
      <c r="AK66" s="2086"/>
      <c r="AL66" s="1187"/>
      <c r="AM66" s="1874"/>
      <c r="AN66" s="1874"/>
      <c r="AO66" s="1874"/>
      <c r="AP66" s="1874"/>
      <c r="AQ66" s="1874"/>
      <c r="AR66" s="1874"/>
      <c r="AS66" s="1874"/>
      <c r="AT66" s="1874"/>
      <c r="AU66" s="1874"/>
      <c r="AV66" s="1874"/>
      <c r="AW66" s="1874"/>
      <c r="AX66" s="1874"/>
      <c r="AY66" s="1874"/>
      <c r="AZ66" s="1874"/>
      <c r="BA66" s="1874"/>
      <c r="BB66" s="1874"/>
      <c r="BC66" s="1874"/>
      <c r="BD66" s="1874"/>
      <c r="BE66" s="1874"/>
      <c r="BF66" s="1874"/>
    </row>
    <row customHeight="1" ht="12">
      <c r="A67" s="1180" t="s">
        <v>1962</v>
      </c>
      <c r="B67" s="1180"/>
      <c r="C67" s="1180"/>
      <c r="D67" s="1174"/>
      <c r="E67" s="1184"/>
      <c r="F67" s="2115"/>
      <c r="G67" s="1206"/>
      <c r="H67" s="1206"/>
      <c r="I67" s="2113" t="s">
        <v>410</v>
      </c>
      <c r="J67" s="2113"/>
      <c r="K67" s="2113"/>
      <c r="L67" s="1188"/>
      <c r="M67" s="1188"/>
      <c r="N67" s="1189"/>
      <c r="O67" s="1189"/>
      <c r="P67" s="1189"/>
      <c r="Q67" s="1189"/>
      <c r="R67" s="1189"/>
      <c r="S67" s="1189"/>
      <c r="T67" s="1189"/>
      <c r="U67" s="1189"/>
      <c r="V67" s="1189"/>
      <c r="W67" s="1189"/>
      <c r="X67" s="1189"/>
      <c r="Y67" s="1189"/>
      <c r="Z67" s="1189"/>
      <c r="AA67" s="1189"/>
      <c r="AB67" s="1189"/>
      <c r="AC67" s="1189"/>
      <c r="AD67" s="1189"/>
      <c r="AE67" s="1189"/>
      <c r="AF67" s="1189"/>
      <c r="AG67" s="1188"/>
      <c r="AH67" s="1188"/>
      <c r="AI67" s="1189"/>
      <c r="AJ67" s="1188"/>
      <c r="AK67" s="1199"/>
      <c r="AL67" s="1187"/>
      <c r="AM67" s="1874"/>
      <c r="AN67" s="1874"/>
      <c r="AO67" s="1874"/>
      <c r="AP67" s="1874"/>
      <c r="AQ67" s="1874"/>
      <c r="AR67" s="1874"/>
      <c r="AS67" s="1874"/>
      <c r="AT67" s="1874"/>
      <c r="AU67" s="1874"/>
      <c r="AV67" s="1874"/>
      <c r="AW67" s="1874"/>
      <c r="AX67" s="1874"/>
      <c r="AY67" s="1874"/>
      <c r="AZ67" s="1874"/>
      <c r="BA67" s="1874"/>
      <c r="BB67" s="1874"/>
      <c r="BC67" s="1874"/>
      <c r="BD67" s="1874"/>
      <c r="BE67" s="1874"/>
      <c r="BF67" s="1874"/>
    </row>
    <row customHeight="1" ht="11.25">
      <c r="A68" s="1180" t="s">
        <v>1962</v>
      </c>
      <c r="B68" s="1180"/>
      <c r="C68" s="1180"/>
      <c r="D68" s="1174"/>
      <c r="E68" s="1184"/>
      <c r="F68" s="2114">
        <v>2022</v>
      </c>
      <c r="G68" s="2094"/>
      <c r="H68" s="2094" t="s">
        <v>109</v>
      </c>
      <c r="I68" s="2095"/>
      <c r="J68" s="2096"/>
      <c r="K68" s="2097" t="s">
        <v>1998</v>
      </c>
      <c r="L68" s="2086" t="s">
        <v>56</v>
      </c>
      <c r="M68" s="1947"/>
      <c r="N68" s="1193"/>
      <c r="O68" s="1192" t="s">
        <v>371</v>
      </c>
      <c r="P68" s="1193"/>
      <c r="Q68" s="1193"/>
      <c r="R68" s="1193"/>
      <c r="S68" s="1193"/>
      <c r="T68" s="1193"/>
      <c r="U68" s="1193"/>
      <c r="V68" s="1193"/>
      <c r="W68" s="1193"/>
      <c r="X68" s="1193"/>
      <c r="Y68" s="1193"/>
      <c r="Z68" s="1193"/>
      <c r="AA68" s="1193"/>
      <c r="AB68" s="1193"/>
      <c r="AC68" s="1193"/>
      <c r="AD68" s="1193"/>
      <c r="AE68" s="1193"/>
      <c r="AF68" s="2085">
        <v>2023</v>
      </c>
      <c r="AG68" s="2086" t="s">
        <v>835</v>
      </c>
      <c r="AH68" s="2086" t="s">
        <v>1996</v>
      </c>
      <c r="AI68" s="2085">
        <v>2023</v>
      </c>
      <c r="AJ68" s="2086" t="s">
        <v>835</v>
      </c>
      <c r="AK68" s="2086" t="s">
        <v>1996</v>
      </c>
      <c r="AL68" s="1187"/>
      <c r="AM68" s="1874"/>
      <c r="AN68" s="1874"/>
      <c r="AO68" s="1874"/>
      <c r="AP68" s="1874"/>
      <c r="AQ68" s="1874"/>
      <c r="AR68" s="1874"/>
      <c r="AS68" s="1874"/>
      <c r="AT68" s="1874"/>
      <c r="AU68" s="1874"/>
      <c r="AV68" s="1874"/>
      <c r="AW68" s="1874"/>
      <c r="AX68" s="1874"/>
      <c r="AY68" s="1874"/>
      <c r="AZ68" s="1874"/>
      <c r="BA68" s="1874"/>
      <c r="BB68" s="1874"/>
      <c r="BC68" s="1874"/>
      <c r="BD68" s="1874"/>
      <c r="BE68" s="1874"/>
      <c r="BF68" s="1874"/>
    </row>
    <row customHeight="1" ht="11.25">
      <c r="A69" s="1180" t="s">
        <v>1962</v>
      </c>
      <c r="B69" s="1180"/>
      <c r="C69" s="1180"/>
      <c r="D69" s="1174"/>
      <c r="E69" s="1184"/>
      <c r="F69" s="2114"/>
      <c r="G69" s="2094"/>
      <c r="H69" s="2094"/>
      <c r="I69" s="2095"/>
      <c r="J69" s="2096"/>
      <c r="K69" s="2097"/>
      <c r="L69" s="2086"/>
      <c r="M69" s="1947"/>
      <c r="N69" s="2087"/>
      <c r="O69" s="2088">
        <v>1</v>
      </c>
      <c r="P69" s="2089" t="s">
        <v>56</v>
      </c>
      <c r="Q69" s="2092" t="s">
        <v>18</v>
      </c>
      <c r="R69" s="2092" t="s">
        <v>18</v>
      </c>
      <c r="S69" s="2092" t="s">
        <v>18</v>
      </c>
      <c r="T69" s="2092" t="s">
        <v>18</v>
      </c>
      <c r="U69" s="2092" t="s">
        <v>18</v>
      </c>
      <c r="V69" s="2092" t="s">
        <v>18</v>
      </c>
      <c r="W69" s="2092" t="s">
        <v>18</v>
      </c>
      <c r="X69" s="2092" t="s">
        <v>18</v>
      </c>
      <c r="Y69" s="2092"/>
      <c r="Z69" s="1190"/>
      <c r="AA69" s="1191"/>
      <c r="AB69" s="1191"/>
      <c r="AC69" s="1195"/>
      <c r="AD69" s="1195"/>
      <c r="AE69" s="1196"/>
      <c r="AF69" s="2085"/>
      <c r="AG69" s="2086"/>
      <c r="AH69" s="2086"/>
      <c r="AI69" s="2085"/>
      <c r="AJ69" s="2086"/>
      <c r="AK69" s="2086"/>
      <c r="AL69" s="1187"/>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customHeight="1" ht="11.25">
      <c r="A70" s="1180" t="s">
        <v>1962</v>
      </c>
      <c r="B70" s="1180"/>
      <c r="C70" s="1180"/>
      <c r="D70" s="1174"/>
      <c r="E70" s="1184"/>
      <c r="F70" s="2114"/>
      <c r="G70" s="2094"/>
      <c r="H70" s="2094"/>
      <c r="I70" s="2095"/>
      <c r="J70" s="2096"/>
      <c r="K70" s="2097"/>
      <c r="L70" s="2086"/>
      <c r="M70" s="1947"/>
      <c r="N70" s="2087"/>
      <c r="O70" s="2088"/>
      <c r="P70" s="2090"/>
      <c r="Q70" s="2092"/>
      <c r="R70" s="2092"/>
      <c r="S70" s="2093"/>
      <c r="T70" s="2092"/>
      <c r="U70" s="2092"/>
      <c r="V70" s="2092"/>
      <c r="W70" s="2092"/>
      <c r="X70" s="2092"/>
      <c r="Y70" s="2092"/>
      <c r="Z70" s="1880"/>
      <c r="AA70" s="1845">
        <v>1</v>
      </c>
      <c r="AB70" s="1194" t="s">
        <v>804</v>
      </c>
      <c r="AC70" s="1183">
        <v>387.5</v>
      </c>
      <c r="AD70" s="1194" t="str">
        <f>AB70</f>
        <v>     Прочие амортизационные отчисления</v>
      </c>
      <c r="AE70" s="1183">
        <v>387.5</v>
      </c>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customHeight="1" ht="11.25">
      <c r="A71" s="1180" t="s">
        <v>1962</v>
      </c>
      <c r="B71" s="1180"/>
      <c r="C71" s="1180"/>
      <c r="D71" s="1174"/>
      <c r="E71" s="1184"/>
      <c r="F71" s="2114"/>
      <c r="G71" s="2094"/>
      <c r="H71" s="2094"/>
      <c r="I71" s="2095"/>
      <c r="J71" s="2096"/>
      <c r="K71" s="2097"/>
      <c r="L71" s="2086"/>
      <c r="M71" s="1947"/>
      <c r="N71" s="2087"/>
      <c r="O71" s="2088"/>
      <c r="P71" s="2091"/>
      <c r="Q71" s="2092"/>
      <c r="R71" s="2092"/>
      <c r="S71" s="2093"/>
      <c r="T71" s="2092"/>
      <c r="U71" s="2092"/>
      <c r="V71" s="2092"/>
      <c r="W71" s="2092"/>
      <c r="X71" s="2092"/>
      <c r="Y71" s="2092"/>
      <c r="Z71" s="1190"/>
      <c r="AA71" s="1191"/>
      <c r="AB71" s="1265" t="s">
        <v>408</v>
      </c>
      <c r="AC71" s="1195"/>
      <c r="AD71" s="1195"/>
      <c r="AE71" s="1197"/>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customHeight="1" ht="11.25">
      <c r="A72" s="1180" t="s">
        <v>1962</v>
      </c>
      <c r="B72" s="1180"/>
      <c r="C72" s="1180"/>
      <c r="D72" s="1174"/>
      <c r="E72" s="1184"/>
      <c r="F72" s="2114"/>
      <c r="G72" s="2094"/>
      <c r="H72" s="2094"/>
      <c r="I72" s="2095"/>
      <c r="J72" s="2096"/>
      <c r="K72" s="2097"/>
      <c r="L72" s="2086"/>
      <c r="M72" s="1947"/>
      <c r="N72" s="1191"/>
      <c r="O72" s="1191"/>
      <c r="P72" s="1182" t="s">
        <v>409</v>
      </c>
      <c r="Q72" s="1191"/>
      <c r="R72" s="1191"/>
      <c r="S72" s="1191"/>
      <c r="T72" s="1191"/>
      <c r="U72" s="1191"/>
      <c r="V72" s="1191"/>
      <c r="W72" s="1191"/>
      <c r="X72" s="1191"/>
      <c r="Y72" s="1191"/>
      <c r="Z72" s="1191"/>
      <c r="AA72" s="1191"/>
      <c r="AB72" s="1191"/>
      <c r="AC72" s="1191"/>
      <c r="AD72" s="1191"/>
      <c r="AE72" s="1198"/>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customHeight="1" ht="11.25">
      <c r="A73" s="1180" t="s">
        <v>1962</v>
      </c>
      <c r="B73" s="1180"/>
      <c r="C73" s="1180"/>
      <c r="D73" s="1174"/>
      <c r="E73" s="1184"/>
      <c r="F73" s="1881"/>
      <c r="G73" s="4144" t="s">
        <v>121</v>
      </c>
      <c r="H73" s="2094" t="s">
        <v>110</v>
      </c>
      <c r="I73" s="2095"/>
      <c r="J73" s="2096"/>
      <c r="K73" s="2097" t="s">
        <v>1999</v>
      </c>
      <c r="L73" s="2086" t="s">
        <v>56</v>
      </c>
      <c r="M73" s="1947"/>
      <c r="N73" s="1193"/>
      <c r="O73" s="1192" t="s">
        <v>371</v>
      </c>
      <c r="P73" s="1193"/>
      <c r="Q73" s="1193"/>
      <c r="R73" s="1193"/>
      <c r="S73" s="1193"/>
      <c r="T73" s="1193"/>
      <c r="U73" s="1193"/>
      <c r="V73" s="1193"/>
      <c r="W73" s="1193"/>
      <c r="X73" s="1193"/>
      <c r="Y73" s="1193"/>
      <c r="Z73" s="1193"/>
      <c r="AA73" s="1193"/>
      <c r="AB73" s="1193"/>
      <c r="AC73" s="1193"/>
      <c r="AD73" s="1193"/>
      <c r="AE73" s="1193"/>
      <c r="AF73" s="2085">
        <v>2023</v>
      </c>
      <c r="AG73" s="2086" t="s">
        <v>835</v>
      </c>
      <c r="AH73" s="2086" t="s">
        <v>1996</v>
      </c>
      <c r="AI73" s="2085">
        <v>2023</v>
      </c>
      <c r="AJ73" s="2086" t="s">
        <v>835</v>
      </c>
      <c r="AK73" s="2086" t="s">
        <v>1996</v>
      </c>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customHeight="1" ht="11.25">
      <c r="A74" s="1180" t="s">
        <v>1962</v>
      </c>
      <c r="B74" s="1180"/>
      <c r="C74" s="1180"/>
      <c r="D74" s="1174"/>
      <c r="E74" s="1184"/>
      <c r="F74" s="1881"/>
      <c r="G74" s="1882"/>
      <c r="H74" s="2094" t="s">
        <v>109</v>
      </c>
      <c r="I74" s="2095"/>
      <c r="J74" s="2096"/>
      <c r="K74" s="2097"/>
      <c r="L74" s="2086"/>
      <c r="M74" s="1947"/>
      <c r="N74" s="2087"/>
      <c r="O74" s="2088">
        <v>1</v>
      </c>
      <c r="P74" s="2089" t="s">
        <v>56</v>
      </c>
      <c r="Q74" s="2092" t="s">
        <v>18</v>
      </c>
      <c r="R74" s="2092" t="s">
        <v>18</v>
      </c>
      <c r="S74" s="2092" t="s">
        <v>18</v>
      </c>
      <c r="T74" s="2092" t="s">
        <v>18</v>
      </c>
      <c r="U74" s="2092" t="s">
        <v>18</v>
      </c>
      <c r="V74" s="2092" t="s">
        <v>18</v>
      </c>
      <c r="W74" s="2092" t="s">
        <v>18</v>
      </c>
      <c r="X74" s="2092" t="s">
        <v>18</v>
      </c>
      <c r="Y74" s="2092"/>
      <c r="Z74" s="1190"/>
      <c r="AA74" s="1191"/>
      <c r="AB74" s="1191"/>
      <c r="AC74" s="1195"/>
      <c r="AD74" s="1195"/>
      <c r="AE74" s="1196"/>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customHeight="1" ht="11.25">
      <c r="A75" s="1180" t="s">
        <v>1962</v>
      </c>
      <c r="B75" s="1180"/>
      <c r="C75" s="1180"/>
      <c r="D75" s="1174"/>
      <c r="E75" s="1184"/>
      <c r="F75" s="1881"/>
      <c r="G75" s="1882"/>
      <c r="H75" s="2094" t="s">
        <v>109</v>
      </c>
      <c r="I75" s="2095"/>
      <c r="J75" s="2096"/>
      <c r="K75" s="2097"/>
      <c r="L75" s="2086"/>
      <c r="M75" s="1947"/>
      <c r="N75" s="2087"/>
      <c r="O75" s="2088"/>
      <c r="P75" s="2090"/>
      <c r="Q75" s="2092"/>
      <c r="R75" s="2092"/>
      <c r="S75" s="2093"/>
      <c r="T75" s="2092"/>
      <c r="U75" s="2092"/>
      <c r="V75" s="2092"/>
      <c r="W75" s="2092"/>
      <c r="X75" s="2092"/>
      <c r="Y75" s="2092"/>
      <c r="Z75" s="1880"/>
      <c r="AA75" s="1845">
        <v>1</v>
      </c>
      <c r="AB75" s="1194" t="s">
        <v>804</v>
      </c>
      <c r="AC75" s="1183">
        <v>687.65</v>
      </c>
      <c r="AD75" s="1194" t="str">
        <f>AB75</f>
        <v>     Прочие амортизационные отчисления</v>
      </c>
      <c r="AE75" s="1183">
        <v>687.65</v>
      </c>
      <c r="AF75" s="2085"/>
      <c r="AG75" s="2086"/>
      <c r="AH75" s="2086"/>
      <c r="AI75" s="2085"/>
      <c r="AJ75" s="2086"/>
      <c r="AK75" s="2086"/>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customHeight="1" ht="11.25">
      <c r="A76" s="1180" t="s">
        <v>1962</v>
      </c>
      <c r="B76" s="1180"/>
      <c r="C76" s="1180"/>
      <c r="D76" s="1174"/>
      <c r="E76" s="1184"/>
      <c r="F76" s="1881"/>
      <c r="G76" s="1882"/>
      <c r="H76" s="2094" t="s">
        <v>109</v>
      </c>
      <c r="I76" s="2095"/>
      <c r="J76" s="2096"/>
      <c r="K76" s="2097"/>
      <c r="L76" s="2086"/>
      <c r="M76" s="1947"/>
      <c r="N76" s="2087"/>
      <c r="O76" s="2088"/>
      <c r="P76" s="2091"/>
      <c r="Q76" s="2092"/>
      <c r="R76" s="2092"/>
      <c r="S76" s="2093"/>
      <c r="T76" s="2092"/>
      <c r="U76" s="2092"/>
      <c r="V76" s="2092"/>
      <c r="W76" s="2092"/>
      <c r="X76" s="2092"/>
      <c r="Y76" s="2092"/>
      <c r="Z76" s="1190"/>
      <c r="AA76" s="1191"/>
      <c r="AB76" s="1265" t="s">
        <v>408</v>
      </c>
      <c r="AC76" s="1195"/>
      <c r="AD76" s="1195"/>
      <c r="AE76" s="1197"/>
      <c r="AF76" s="2085"/>
      <c r="AG76" s="2086"/>
      <c r="AH76" s="2086"/>
      <c r="AI76" s="2085"/>
      <c r="AJ76" s="2086"/>
      <c r="AK76" s="2086"/>
      <c r="AL76" s="1187"/>
      <c r="AM76" s="1874"/>
      <c r="AN76" s="1874"/>
      <c r="AO76" s="1874"/>
      <c r="AP76" s="1874"/>
      <c r="AQ76" s="1874"/>
      <c r="AR76" s="1874"/>
      <c r="AS76" s="1874"/>
      <c r="AT76" s="1874"/>
      <c r="AU76" s="1874"/>
      <c r="AV76" s="1874"/>
      <c r="AW76" s="1874"/>
      <c r="AX76" s="1874"/>
      <c r="AY76" s="1874"/>
      <c r="AZ76" s="1874"/>
      <c r="BA76" s="1874"/>
      <c r="BB76" s="1874"/>
      <c r="BC76" s="1874"/>
      <c r="BD76" s="1874"/>
      <c r="BE76" s="1874"/>
      <c r="BF76" s="1874"/>
    </row>
    <row customHeight="1" ht="11.25">
      <c r="A77" s="1180" t="s">
        <v>1962</v>
      </c>
      <c r="B77" s="1180"/>
      <c r="C77" s="1180"/>
      <c r="D77" s="1174"/>
      <c r="E77" s="1184"/>
      <c r="F77" s="1881"/>
      <c r="G77" s="1882"/>
      <c r="H77" s="2094" t="s">
        <v>109</v>
      </c>
      <c r="I77" s="2095"/>
      <c r="J77" s="2096"/>
      <c r="K77" s="2097"/>
      <c r="L77" s="2086"/>
      <c r="M77" s="1947"/>
      <c r="N77" s="1191"/>
      <c r="O77" s="1191"/>
      <c r="P77" s="1182" t="s">
        <v>409</v>
      </c>
      <c r="Q77" s="1191"/>
      <c r="R77" s="1191"/>
      <c r="S77" s="1191"/>
      <c r="T77" s="1191"/>
      <c r="U77" s="1191"/>
      <c r="V77" s="1191"/>
      <c r="W77" s="1191"/>
      <c r="X77" s="1191"/>
      <c r="Y77" s="1191"/>
      <c r="Z77" s="1191"/>
      <c r="AA77" s="1191"/>
      <c r="AB77" s="1191"/>
      <c r="AC77" s="1191"/>
      <c r="AD77" s="1191"/>
      <c r="AE77" s="1198"/>
      <c r="AF77" s="2085"/>
      <c r="AG77" s="2086"/>
      <c r="AH77" s="2086"/>
      <c r="AI77" s="2085"/>
      <c r="AJ77" s="2086"/>
      <c r="AK77" s="2086"/>
      <c r="AL77" s="1187"/>
      <c r="AM77" s="1874"/>
      <c r="AN77" s="1874"/>
      <c r="AO77" s="1874"/>
      <c r="AP77" s="1874"/>
      <c r="AQ77" s="1874"/>
      <c r="AR77" s="1874"/>
      <c r="AS77" s="1874"/>
      <c r="AT77" s="1874"/>
      <c r="AU77" s="1874"/>
      <c r="AV77" s="1874"/>
      <c r="AW77" s="1874"/>
      <c r="AX77" s="1874"/>
      <c r="AY77" s="1874"/>
      <c r="AZ77" s="1874"/>
      <c r="BA77" s="1874"/>
      <c r="BB77" s="1874"/>
      <c r="BC77" s="1874"/>
      <c r="BD77" s="1874"/>
      <c r="BE77" s="1874"/>
      <c r="BF77" s="1874"/>
    </row>
    <row customHeight="1" ht="11.25">
      <c r="A78" s="1180" t="s">
        <v>1962</v>
      </c>
      <c r="B78" s="1180"/>
      <c r="C78" s="1180"/>
      <c r="D78" s="1174"/>
      <c r="E78" s="1184"/>
      <c r="F78" s="1881"/>
      <c r="G78" s="4144" t="s">
        <v>121</v>
      </c>
      <c r="H78" s="2094" t="s">
        <v>90</v>
      </c>
      <c r="I78" s="2095"/>
      <c r="J78" s="2096"/>
      <c r="K78" s="2097" t="s">
        <v>2000</v>
      </c>
      <c r="L78" s="2086" t="s">
        <v>56</v>
      </c>
      <c r="M78" s="1947"/>
      <c r="N78" s="1193"/>
      <c r="O78" s="1192" t="s">
        <v>371</v>
      </c>
      <c r="P78" s="1193"/>
      <c r="Q78" s="1193"/>
      <c r="R78" s="1193"/>
      <c r="S78" s="1193"/>
      <c r="T78" s="1193"/>
      <c r="U78" s="1193"/>
      <c r="V78" s="1193"/>
      <c r="W78" s="1193"/>
      <c r="X78" s="1193"/>
      <c r="Y78" s="1193"/>
      <c r="Z78" s="1193"/>
      <c r="AA78" s="1193"/>
      <c r="AB78" s="1193"/>
      <c r="AC78" s="1193"/>
      <c r="AD78" s="1193"/>
      <c r="AE78" s="1193"/>
      <c r="AF78" s="2085">
        <v>2023</v>
      </c>
      <c r="AG78" s="2086" t="s">
        <v>835</v>
      </c>
      <c r="AH78" s="2086" t="s">
        <v>1996</v>
      </c>
      <c r="AI78" s="2085">
        <v>2023</v>
      </c>
      <c r="AJ78" s="2086" t="s">
        <v>835</v>
      </c>
      <c r="AK78" s="2086" t="s">
        <v>1996</v>
      </c>
      <c r="AL78" s="1187"/>
      <c r="AM78" s="1874"/>
      <c r="AN78" s="1874"/>
      <c r="AO78" s="1874"/>
      <c r="AP78" s="1874"/>
      <c r="AQ78" s="1874"/>
      <c r="AR78" s="1874"/>
      <c r="AS78" s="1874"/>
      <c r="AT78" s="1874"/>
      <c r="AU78" s="1874"/>
      <c r="AV78" s="1874"/>
      <c r="AW78" s="1874"/>
      <c r="AX78" s="1874"/>
      <c r="AY78" s="1874"/>
      <c r="AZ78" s="1874"/>
      <c r="BA78" s="1874"/>
      <c r="BB78" s="1874"/>
      <c r="BC78" s="1874"/>
      <c r="BD78" s="1874"/>
      <c r="BE78" s="1874"/>
      <c r="BF78" s="1874"/>
    </row>
    <row customHeight="1" ht="11.25">
      <c r="A79" s="1180" t="s">
        <v>1962</v>
      </c>
      <c r="B79" s="1180"/>
      <c r="C79" s="1180"/>
      <c r="D79" s="1174"/>
      <c r="E79" s="1184"/>
      <c r="F79" s="1881"/>
      <c r="G79" s="1882"/>
      <c r="H79" s="2094" t="s">
        <v>110</v>
      </c>
      <c r="I79" s="2095"/>
      <c r="J79" s="2096"/>
      <c r="K79" s="2097"/>
      <c r="L79" s="2086"/>
      <c r="M79" s="1947"/>
      <c r="N79" s="2087"/>
      <c r="O79" s="2088">
        <v>1</v>
      </c>
      <c r="P79" s="2089" t="s">
        <v>56</v>
      </c>
      <c r="Q79" s="2092" t="s">
        <v>18</v>
      </c>
      <c r="R79" s="2092" t="s">
        <v>18</v>
      </c>
      <c r="S79" s="2092" t="s">
        <v>18</v>
      </c>
      <c r="T79" s="2092" t="s">
        <v>18</v>
      </c>
      <c r="U79" s="2092" t="s">
        <v>18</v>
      </c>
      <c r="V79" s="2092" t="s">
        <v>18</v>
      </c>
      <c r="W79" s="2092" t="s">
        <v>18</v>
      </c>
      <c r="X79" s="2092" t="s">
        <v>18</v>
      </c>
      <c r="Y79" s="2092"/>
      <c r="Z79" s="1190"/>
      <c r="AA79" s="1191"/>
      <c r="AB79" s="1191"/>
      <c r="AC79" s="1195"/>
      <c r="AD79" s="1195"/>
      <c r="AE79" s="1196"/>
      <c r="AF79" s="2085"/>
      <c r="AG79" s="2086"/>
      <c r="AH79" s="2086"/>
      <c r="AI79" s="2085"/>
      <c r="AJ79" s="2086"/>
      <c r="AK79" s="2086"/>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customHeight="1" ht="11.25">
      <c r="A80" s="1180" t="s">
        <v>1962</v>
      </c>
      <c r="B80" s="1180"/>
      <c r="C80" s="1180"/>
      <c r="D80" s="1174"/>
      <c r="E80" s="1184"/>
      <c r="F80" s="1881"/>
      <c r="G80" s="1882"/>
      <c r="H80" s="2094" t="s">
        <v>110</v>
      </c>
      <c r="I80" s="2095"/>
      <c r="J80" s="2096"/>
      <c r="K80" s="2097"/>
      <c r="L80" s="2086"/>
      <c r="M80" s="1947"/>
      <c r="N80" s="2087"/>
      <c r="O80" s="2088"/>
      <c r="P80" s="2090"/>
      <c r="Q80" s="2092"/>
      <c r="R80" s="2092"/>
      <c r="S80" s="2093"/>
      <c r="T80" s="2092"/>
      <c r="U80" s="2092"/>
      <c r="V80" s="2092"/>
      <c r="W80" s="2092"/>
      <c r="X80" s="2092"/>
      <c r="Y80" s="2092"/>
      <c r="Z80" s="1880"/>
      <c r="AA80" s="1845">
        <v>1</v>
      </c>
      <c r="AB80" s="1194" t="s">
        <v>804</v>
      </c>
      <c r="AC80" s="1183">
        <v>121.06</v>
      </c>
      <c r="AD80" s="1194" t="str">
        <f>AB80</f>
        <v>     Прочие амортизационные отчисления</v>
      </c>
      <c r="AE80" s="1183">
        <v>121.06</v>
      </c>
      <c r="AF80" s="2085"/>
      <c r="AG80" s="2086"/>
      <c r="AH80" s="2086"/>
      <c r="AI80" s="2085"/>
      <c r="AJ80" s="2086"/>
      <c r="AK80" s="2086"/>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customHeight="1" ht="11.25">
      <c r="A81" s="1180" t="s">
        <v>1962</v>
      </c>
      <c r="B81" s="1180"/>
      <c r="C81" s="1180"/>
      <c r="D81" s="1174"/>
      <c r="E81" s="1184"/>
      <c r="F81" s="1881"/>
      <c r="G81" s="1882"/>
      <c r="H81" s="2094" t="s">
        <v>110</v>
      </c>
      <c r="I81" s="2095"/>
      <c r="J81" s="2096"/>
      <c r="K81" s="2097"/>
      <c r="L81" s="2086"/>
      <c r="M81" s="1947"/>
      <c r="N81" s="2087"/>
      <c r="O81" s="2088"/>
      <c r="P81" s="2091"/>
      <c r="Q81" s="2092"/>
      <c r="R81" s="2092"/>
      <c r="S81" s="2093"/>
      <c r="T81" s="2092"/>
      <c r="U81" s="2092"/>
      <c r="V81" s="2092"/>
      <c r="W81" s="2092"/>
      <c r="X81" s="2092"/>
      <c r="Y81" s="2092"/>
      <c r="Z81" s="1190"/>
      <c r="AA81" s="1191"/>
      <c r="AB81" s="1265" t="s">
        <v>408</v>
      </c>
      <c r="AC81" s="1195"/>
      <c r="AD81" s="1195"/>
      <c r="AE81" s="1197"/>
      <c r="AF81" s="2085"/>
      <c r="AG81" s="2086"/>
      <c r="AH81" s="2086"/>
      <c r="AI81" s="2085"/>
      <c r="AJ81" s="2086"/>
      <c r="AK81" s="2086"/>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customHeight="1" ht="11.25">
      <c r="A82" s="1180" t="s">
        <v>1962</v>
      </c>
      <c r="B82" s="1180"/>
      <c r="C82" s="1180"/>
      <c r="D82" s="1174"/>
      <c r="E82" s="1184"/>
      <c r="F82" s="1881"/>
      <c r="G82" s="1882"/>
      <c r="H82" s="2094" t="s">
        <v>110</v>
      </c>
      <c r="I82" s="2095"/>
      <c r="J82" s="2096"/>
      <c r="K82" s="2097"/>
      <c r="L82" s="2086"/>
      <c r="M82" s="1947"/>
      <c r="N82" s="1191"/>
      <c r="O82" s="1191"/>
      <c r="P82" s="1182" t="s">
        <v>409</v>
      </c>
      <c r="Q82" s="1191"/>
      <c r="R82" s="1191"/>
      <c r="S82" s="1191"/>
      <c r="T82" s="1191"/>
      <c r="U82" s="1191"/>
      <c r="V82" s="1191"/>
      <c r="W82" s="1191"/>
      <c r="X82" s="1191"/>
      <c r="Y82" s="1191"/>
      <c r="Z82" s="1191"/>
      <c r="AA82" s="1191"/>
      <c r="AB82" s="1191"/>
      <c r="AC82" s="1191"/>
      <c r="AD82" s="1191"/>
      <c r="AE82" s="1198"/>
      <c r="AF82" s="2085"/>
      <c r="AG82" s="2086"/>
      <c r="AH82" s="2086"/>
      <c r="AI82" s="2085"/>
      <c r="AJ82" s="2086"/>
      <c r="AK82" s="2086"/>
      <c r="AL82" s="1187"/>
      <c r="AM82" s="1874"/>
      <c r="AN82" s="1874"/>
      <c r="AO82" s="1874"/>
      <c r="AP82" s="1874"/>
      <c r="AQ82" s="1874"/>
      <c r="AR82" s="1874"/>
      <c r="AS82" s="1874"/>
      <c r="AT82" s="1874"/>
      <c r="AU82" s="1874"/>
      <c r="AV82" s="1874"/>
      <c r="AW82" s="1874"/>
      <c r="AX82" s="1874"/>
      <c r="AY82" s="1874"/>
      <c r="AZ82" s="1874"/>
      <c r="BA82" s="1874"/>
      <c r="BB82" s="1874"/>
      <c r="BC82" s="1874"/>
      <c r="BD82" s="1874"/>
      <c r="BE82" s="1874"/>
      <c r="BF82" s="1874"/>
    </row>
    <row customHeight="1" ht="11.25">
      <c r="A83" s="1180" t="s">
        <v>1962</v>
      </c>
      <c r="B83" s="1180"/>
      <c r="C83" s="1180"/>
      <c r="D83" s="1174"/>
      <c r="E83" s="1184"/>
      <c r="F83" s="1881"/>
      <c r="G83" s="4144" t="s">
        <v>121</v>
      </c>
      <c r="H83" s="2094" t="s">
        <v>91</v>
      </c>
      <c r="I83" s="2095"/>
      <c r="J83" s="2096"/>
      <c r="K83" s="2097" t="s">
        <v>1997</v>
      </c>
      <c r="L83" s="2086" t="s">
        <v>56</v>
      </c>
      <c r="M83" s="1947"/>
      <c r="N83" s="1193"/>
      <c r="O83" s="1192" t="s">
        <v>371</v>
      </c>
      <c r="P83" s="1193"/>
      <c r="Q83" s="1193"/>
      <c r="R83" s="1193"/>
      <c r="S83" s="1193"/>
      <c r="T83" s="1193"/>
      <c r="U83" s="1193"/>
      <c r="V83" s="1193"/>
      <c r="W83" s="1193"/>
      <c r="X83" s="1193"/>
      <c r="Y83" s="1193"/>
      <c r="Z83" s="1193"/>
      <c r="AA83" s="1193"/>
      <c r="AB83" s="1193"/>
      <c r="AC83" s="1193"/>
      <c r="AD83" s="1193"/>
      <c r="AE83" s="1193"/>
      <c r="AF83" s="2085">
        <v>2023</v>
      </c>
      <c r="AG83" s="2086" t="s">
        <v>835</v>
      </c>
      <c r="AH83" s="2086" t="s">
        <v>1996</v>
      </c>
      <c r="AI83" s="2085">
        <v>2023</v>
      </c>
      <c r="AJ83" s="2086" t="s">
        <v>835</v>
      </c>
      <c r="AK83" s="2086" t="s">
        <v>1996</v>
      </c>
      <c r="AL83" s="1187"/>
      <c r="AM83" s="1874"/>
      <c r="AN83" s="1874"/>
      <c r="AO83" s="1874"/>
      <c r="AP83" s="1874"/>
      <c r="AQ83" s="1874"/>
      <c r="AR83" s="1874"/>
      <c r="AS83" s="1874"/>
      <c r="AT83" s="1874"/>
      <c r="AU83" s="1874"/>
      <c r="AV83" s="1874"/>
      <c r="AW83" s="1874"/>
      <c r="AX83" s="1874"/>
      <c r="AY83" s="1874"/>
      <c r="AZ83" s="1874"/>
      <c r="BA83" s="1874"/>
      <c r="BB83" s="1874"/>
      <c r="BC83" s="1874"/>
      <c r="BD83" s="1874"/>
      <c r="BE83" s="1874"/>
      <c r="BF83" s="1874"/>
    </row>
    <row customHeight="1" ht="11.25">
      <c r="A84" s="1180" t="s">
        <v>1962</v>
      </c>
      <c r="B84" s="1180"/>
      <c r="C84" s="1180"/>
      <c r="D84" s="1174"/>
      <c r="E84" s="1184"/>
      <c r="F84" s="1881"/>
      <c r="G84" s="1882"/>
      <c r="H84" s="2094" t="s">
        <v>91</v>
      </c>
      <c r="I84" s="2095"/>
      <c r="J84" s="2096"/>
      <c r="K84" s="2097"/>
      <c r="L84" s="2086"/>
      <c r="M84" s="1947"/>
      <c r="N84" s="2087"/>
      <c r="O84" s="2088">
        <v>1</v>
      </c>
      <c r="P84" s="2089" t="s">
        <v>56</v>
      </c>
      <c r="Q84" s="2092" t="s">
        <v>18</v>
      </c>
      <c r="R84" s="2092" t="s">
        <v>18</v>
      </c>
      <c r="S84" s="2092" t="s">
        <v>18</v>
      </c>
      <c r="T84" s="2092" t="s">
        <v>18</v>
      </c>
      <c r="U84" s="2092" t="s">
        <v>18</v>
      </c>
      <c r="V84" s="2092" t="s">
        <v>18</v>
      </c>
      <c r="W84" s="2092" t="s">
        <v>18</v>
      </c>
      <c r="X84" s="2092" t="s">
        <v>18</v>
      </c>
      <c r="Y84" s="2092"/>
      <c r="Z84" s="1190"/>
      <c r="AA84" s="1191"/>
      <c r="AB84" s="1191"/>
      <c r="AC84" s="1195"/>
      <c r="AD84" s="1195"/>
      <c r="AE84" s="1196"/>
      <c r="AF84" s="2085"/>
      <c r="AG84" s="2086"/>
      <c r="AH84" s="2086"/>
      <c r="AI84" s="2085"/>
      <c r="AJ84" s="2086"/>
      <c r="AK84" s="2086"/>
      <c r="AL84" s="1187"/>
      <c r="AM84" s="1874"/>
      <c r="AN84" s="1874"/>
      <c r="AO84" s="1874"/>
      <c r="AP84" s="1874"/>
      <c r="AQ84" s="1874"/>
      <c r="AR84" s="1874"/>
      <c r="AS84" s="1874"/>
      <c r="AT84" s="1874"/>
      <c r="AU84" s="1874"/>
      <c r="AV84" s="1874"/>
      <c r="AW84" s="1874"/>
      <c r="AX84" s="1874"/>
      <c r="AY84" s="1874"/>
      <c r="AZ84" s="1874"/>
      <c r="BA84" s="1874"/>
      <c r="BB84" s="1874"/>
      <c r="BC84" s="1874"/>
      <c r="BD84" s="1874"/>
      <c r="BE84" s="1874"/>
      <c r="BF84" s="1874"/>
    </row>
    <row customHeight="1" ht="11.25">
      <c r="A85" s="1180" t="s">
        <v>1962</v>
      </c>
      <c r="B85" s="1180"/>
      <c r="C85" s="1180"/>
      <c r="D85" s="1174"/>
      <c r="E85" s="1184"/>
      <c r="F85" s="1881"/>
      <c r="G85" s="1882"/>
      <c r="H85" s="2094" t="s">
        <v>91</v>
      </c>
      <c r="I85" s="2095"/>
      <c r="J85" s="2096"/>
      <c r="K85" s="2097"/>
      <c r="L85" s="2086"/>
      <c r="M85" s="1947"/>
      <c r="N85" s="2087"/>
      <c r="O85" s="2088"/>
      <c r="P85" s="2090"/>
      <c r="Q85" s="2092"/>
      <c r="R85" s="2092"/>
      <c r="S85" s="2093"/>
      <c r="T85" s="2092"/>
      <c r="U85" s="2092"/>
      <c r="V85" s="2092"/>
      <c r="W85" s="2092"/>
      <c r="X85" s="2092"/>
      <c r="Y85" s="2092"/>
      <c r="Z85" s="1880"/>
      <c r="AA85" s="1845">
        <v>1</v>
      </c>
      <c r="AB85" s="1194" t="s">
        <v>804</v>
      </c>
      <c r="AC85" s="1183">
        <v>6127.97</v>
      </c>
      <c r="AD85" s="1194" t="str">
        <f>AB85</f>
        <v>     Прочие амортизационные отчисления</v>
      </c>
      <c r="AE85" s="1183">
        <v>6127.97</v>
      </c>
      <c r="AF85" s="2085"/>
      <c r="AG85" s="2086"/>
      <c r="AH85" s="2086"/>
      <c r="AI85" s="2085"/>
      <c r="AJ85" s="2086"/>
      <c r="AK85" s="2086"/>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customHeight="1" ht="11.25">
      <c r="A86" s="1180" t="s">
        <v>1962</v>
      </c>
      <c r="B86" s="1180"/>
      <c r="C86" s="1180"/>
      <c r="D86" s="1174"/>
      <c r="E86" s="1184"/>
      <c r="F86" s="1881"/>
      <c r="G86" s="1882"/>
      <c r="H86" s="2094" t="s">
        <v>91</v>
      </c>
      <c r="I86" s="2095"/>
      <c r="J86" s="2096"/>
      <c r="K86" s="2097"/>
      <c r="L86" s="2086"/>
      <c r="M86" s="1947"/>
      <c r="N86" s="2087"/>
      <c r="O86" s="2088"/>
      <c r="P86" s="2091"/>
      <c r="Q86" s="2092"/>
      <c r="R86" s="2092"/>
      <c r="S86" s="2093"/>
      <c r="T86" s="2092"/>
      <c r="U86" s="2092"/>
      <c r="V86" s="2092"/>
      <c r="W86" s="2092"/>
      <c r="X86" s="2092"/>
      <c r="Y86" s="2092"/>
      <c r="Z86" s="1190"/>
      <c r="AA86" s="1191"/>
      <c r="AB86" s="1265" t="s">
        <v>408</v>
      </c>
      <c r="AC86" s="1195"/>
      <c r="AD86" s="1195"/>
      <c r="AE86" s="1197"/>
      <c r="AF86" s="2085"/>
      <c r="AG86" s="2086"/>
      <c r="AH86" s="2086"/>
      <c r="AI86" s="2085"/>
      <c r="AJ86" s="2086"/>
      <c r="AK86" s="2086"/>
      <c r="AL86" s="1187"/>
      <c r="AM86" s="1874"/>
      <c r="AN86" s="1874"/>
      <c r="AO86" s="1874"/>
      <c r="AP86" s="1874"/>
      <c r="AQ86" s="1874"/>
      <c r="AR86" s="1874"/>
      <c r="AS86" s="1874"/>
      <c r="AT86" s="1874"/>
      <c r="AU86" s="1874"/>
      <c r="AV86" s="1874"/>
      <c r="AW86" s="1874"/>
      <c r="AX86" s="1874"/>
      <c r="AY86" s="1874"/>
      <c r="AZ86" s="1874"/>
      <c r="BA86" s="1874"/>
      <c r="BB86" s="1874"/>
      <c r="BC86" s="1874"/>
      <c r="BD86" s="1874"/>
      <c r="BE86" s="1874"/>
      <c r="BF86" s="1874"/>
    </row>
    <row customHeight="1" ht="11.25">
      <c r="A87" s="1180" t="s">
        <v>1962</v>
      </c>
      <c r="B87" s="1180"/>
      <c r="C87" s="1180"/>
      <c r="D87" s="1174"/>
      <c r="E87" s="1184"/>
      <c r="F87" s="1881"/>
      <c r="G87" s="1882"/>
      <c r="H87" s="2094" t="s">
        <v>91</v>
      </c>
      <c r="I87" s="2095"/>
      <c r="J87" s="2096"/>
      <c r="K87" s="2097"/>
      <c r="L87" s="2086"/>
      <c r="M87" s="1947"/>
      <c r="N87" s="1191"/>
      <c r="O87" s="1191"/>
      <c r="P87" s="1182" t="s">
        <v>409</v>
      </c>
      <c r="Q87" s="1191"/>
      <c r="R87" s="1191"/>
      <c r="S87" s="1191"/>
      <c r="T87" s="1191"/>
      <c r="U87" s="1191"/>
      <c r="V87" s="1191"/>
      <c r="W87" s="1191"/>
      <c r="X87" s="1191"/>
      <c r="Y87" s="1191"/>
      <c r="Z87" s="1191"/>
      <c r="AA87" s="1191"/>
      <c r="AB87" s="1191"/>
      <c r="AC87" s="1191"/>
      <c r="AD87" s="1191"/>
      <c r="AE87" s="1198"/>
      <c r="AF87" s="2085"/>
      <c r="AG87" s="2086"/>
      <c r="AH87" s="2086"/>
      <c r="AI87" s="2085"/>
      <c r="AJ87" s="2086"/>
      <c r="AK87" s="2086"/>
      <c r="AL87" s="1187"/>
      <c r="AM87" s="1874"/>
      <c r="AN87" s="1874"/>
      <c r="AO87" s="1874"/>
      <c r="AP87" s="1874"/>
      <c r="AQ87" s="1874"/>
      <c r="AR87" s="1874"/>
      <c r="AS87" s="1874"/>
      <c r="AT87" s="1874"/>
      <c r="AU87" s="1874"/>
      <c r="AV87" s="1874"/>
      <c r="AW87" s="1874"/>
      <c r="AX87" s="1874"/>
      <c r="AY87" s="1874"/>
      <c r="AZ87" s="1874"/>
      <c r="BA87" s="1874"/>
      <c r="BB87" s="1874"/>
      <c r="BC87" s="1874"/>
      <c r="BD87" s="1874"/>
      <c r="BE87" s="1874"/>
      <c r="BF87" s="1874"/>
    </row>
    <row customHeight="1" ht="12">
      <c r="A88" s="1180" t="s">
        <v>1962</v>
      </c>
      <c r="B88" s="1180"/>
      <c r="C88" s="1180"/>
      <c r="D88" s="1174"/>
      <c r="E88" s="1184"/>
      <c r="F88" s="2115"/>
      <c r="G88" s="1206"/>
      <c r="H88" s="1206"/>
      <c r="I88" s="2113" t="s">
        <v>410</v>
      </c>
      <c r="J88" s="2113"/>
      <c r="K88" s="2113"/>
      <c r="L88" s="1188"/>
      <c r="M88" s="1188"/>
      <c r="N88" s="1189"/>
      <c r="O88" s="1189"/>
      <c r="P88" s="1189"/>
      <c r="Q88" s="1189"/>
      <c r="R88" s="1189"/>
      <c r="S88" s="1189"/>
      <c r="T88" s="1189"/>
      <c r="U88" s="1189"/>
      <c r="V88" s="1189"/>
      <c r="W88" s="1189"/>
      <c r="X88" s="1189"/>
      <c r="Y88" s="1189"/>
      <c r="Z88" s="1189"/>
      <c r="AA88" s="1189"/>
      <c r="AB88" s="1189"/>
      <c r="AC88" s="1189"/>
      <c r="AD88" s="1189"/>
      <c r="AE88" s="1189"/>
      <c r="AF88" s="1189"/>
      <c r="AG88" s="1188"/>
      <c r="AH88" s="1188"/>
      <c r="AI88" s="1189"/>
      <c r="AJ88" s="1188"/>
      <c r="AK88" s="1199"/>
      <c r="AL88" s="1187"/>
      <c r="AM88" s="1874"/>
      <c r="AN88" s="1874"/>
      <c r="AO88" s="1874"/>
      <c r="AP88" s="1874"/>
      <c r="AQ88" s="1874"/>
      <c r="AR88" s="1874"/>
      <c r="AS88" s="1874"/>
      <c r="AT88" s="1874"/>
      <c r="AU88" s="1874"/>
      <c r="AV88" s="1874"/>
      <c r="AW88" s="1874"/>
      <c r="AX88" s="1874"/>
      <c r="AY88" s="1874"/>
      <c r="AZ88" s="1874"/>
      <c r="BA88" s="1874"/>
      <c r="BB88" s="1874"/>
      <c r="BC88" s="1874"/>
      <c r="BD88" s="1874"/>
      <c r="BE88" s="1874"/>
      <c r="BF88" s="1874"/>
    </row>
    <row customHeight="1" ht="11.25">
      <c r="A89" s="1180" t="s">
        <v>1962</v>
      </c>
      <c r="B89" s="1180"/>
      <c r="C89" s="1180"/>
      <c r="D89" s="1174"/>
      <c r="E89" s="1184"/>
      <c r="F89" s="2114">
        <v>2023</v>
      </c>
      <c r="G89" s="2094"/>
      <c r="H89" s="2094" t="s">
        <v>109</v>
      </c>
      <c r="I89" s="2095"/>
      <c r="J89" s="2096"/>
      <c r="K89" s="2097" t="s">
        <v>1998</v>
      </c>
      <c r="L89" s="2086" t="s">
        <v>56</v>
      </c>
      <c r="M89" s="1947"/>
      <c r="N89" s="1193"/>
      <c r="O89" s="1192" t="s">
        <v>371</v>
      </c>
      <c r="P89" s="1193"/>
      <c r="Q89" s="1193"/>
      <c r="R89" s="1193"/>
      <c r="S89" s="1193"/>
      <c r="T89" s="1193"/>
      <c r="U89" s="1193"/>
      <c r="V89" s="1193"/>
      <c r="W89" s="1193"/>
      <c r="X89" s="1193"/>
      <c r="Y89" s="1193"/>
      <c r="Z89" s="1193"/>
      <c r="AA89" s="1193"/>
      <c r="AB89" s="1193"/>
      <c r="AC89" s="1193"/>
      <c r="AD89" s="1193"/>
      <c r="AE89" s="1193"/>
      <c r="AF89" s="2085">
        <v>2023</v>
      </c>
      <c r="AG89" s="2086" t="s">
        <v>835</v>
      </c>
      <c r="AH89" s="2086" t="s">
        <v>1996</v>
      </c>
      <c r="AI89" s="2085">
        <v>2023</v>
      </c>
      <c r="AJ89" s="2086" t="s">
        <v>835</v>
      </c>
      <c r="AK89" s="2086" t="s">
        <v>1996</v>
      </c>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customHeight="1" ht="11.25">
      <c r="A90" s="1180" t="s">
        <v>1962</v>
      </c>
      <c r="B90" s="1180"/>
      <c r="C90" s="1180"/>
      <c r="D90" s="1174"/>
      <c r="E90" s="1184"/>
      <c r="F90" s="2114"/>
      <c r="G90" s="2094"/>
      <c r="H90" s="2094"/>
      <c r="I90" s="2095"/>
      <c r="J90" s="2096"/>
      <c r="K90" s="2097"/>
      <c r="L90" s="2086"/>
      <c r="M90" s="1947"/>
      <c r="N90" s="2087"/>
      <c r="O90" s="2088">
        <v>1</v>
      </c>
      <c r="P90" s="2089" t="s">
        <v>56</v>
      </c>
      <c r="Q90" s="2092" t="s">
        <v>18</v>
      </c>
      <c r="R90" s="2092" t="s">
        <v>18</v>
      </c>
      <c r="S90" s="2092" t="s">
        <v>18</v>
      </c>
      <c r="T90" s="2092" t="s">
        <v>18</v>
      </c>
      <c r="U90" s="2092" t="s">
        <v>18</v>
      </c>
      <c r="V90" s="2092" t="s">
        <v>18</v>
      </c>
      <c r="W90" s="2092" t="s">
        <v>18</v>
      </c>
      <c r="X90" s="2092" t="s">
        <v>18</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customHeight="1" ht="11.25">
      <c r="A91" s="1180" t="s">
        <v>1962</v>
      </c>
      <c r="B91" s="1180"/>
      <c r="C91" s="1180"/>
      <c r="D91" s="1174"/>
      <c r="E91" s="1184"/>
      <c r="F91" s="2114"/>
      <c r="G91" s="2094"/>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t="s">
        <v>804</v>
      </c>
      <c r="AC91" s="1183">
        <v>4237.35</v>
      </c>
      <c r="AD91" s="1194" t="str">
        <f>AB91</f>
        <v>     Прочие амортизационные отчисления</v>
      </c>
      <c r="AE91" s="1183">
        <v>4543.25</v>
      </c>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customHeight="1" ht="11.25">
      <c r="A92" s="1180" t="s">
        <v>1962</v>
      </c>
      <c r="B92" s="1180"/>
      <c r="C92" s="1180"/>
      <c r="D92" s="1174"/>
      <c r="E92" s="1184"/>
      <c r="F92" s="2114"/>
      <c r="G92" s="2094"/>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408</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customHeight="1" ht="11.25">
      <c r="A93" s="1180" t="s">
        <v>1962</v>
      </c>
      <c r="B93" s="1180"/>
      <c r="C93" s="1180"/>
      <c r="D93" s="1174"/>
      <c r="E93" s="1184"/>
      <c r="F93" s="2114"/>
      <c r="G93" s="2094"/>
      <c r="H93" s="2094"/>
      <c r="I93" s="2095"/>
      <c r="J93" s="2096"/>
      <c r="K93" s="2097"/>
      <c r="L93" s="2086"/>
      <c r="M93" s="1947"/>
      <c r="N93" s="1191"/>
      <c r="O93" s="1191"/>
      <c r="P93" s="1182" t="s">
        <v>409</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customHeight="1" ht="11.25">
      <c r="A94" s="1180" t="s">
        <v>1962</v>
      </c>
      <c r="B94" s="1180"/>
      <c r="C94" s="1180"/>
      <c r="D94" s="1174"/>
      <c r="E94" s="1184"/>
      <c r="F94" s="1881"/>
      <c r="G94" s="4144" t="s">
        <v>121</v>
      </c>
      <c r="H94" s="2094" t="s">
        <v>110</v>
      </c>
      <c r="I94" s="2095"/>
      <c r="J94" s="2096"/>
      <c r="K94" s="2097" t="s">
        <v>2001</v>
      </c>
      <c r="L94" s="2086" t="s">
        <v>56</v>
      </c>
      <c r="M94" s="1947"/>
      <c r="N94" s="1193"/>
      <c r="O94" s="1192" t="s">
        <v>371</v>
      </c>
      <c r="P94" s="1193"/>
      <c r="Q94" s="1193"/>
      <c r="R94" s="1193"/>
      <c r="S94" s="1193"/>
      <c r="T94" s="1193"/>
      <c r="U94" s="1193"/>
      <c r="V94" s="1193"/>
      <c r="W94" s="1193"/>
      <c r="X94" s="1193"/>
      <c r="Y94" s="1193"/>
      <c r="Z94" s="1193"/>
      <c r="AA94" s="1193"/>
      <c r="AB94" s="1193"/>
      <c r="AC94" s="1193"/>
      <c r="AD94" s="1193"/>
      <c r="AE94" s="1193"/>
      <c r="AF94" s="2085">
        <v>2023</v>
      </c>
      <c r="AG94" s="2086" t="s">
        <v>835</v>
      </c>
      <c r="AH94" s="2086" t="s">
        <v>1996</v>
      </c>
      <c r="AI94" s="2085">
        <v>2023</v>
      </c>
      <c r="AJ94" s="2086" t="s">
        <v>835</v>
      </c>
      <c r="AK94" s="2086" t="s">
        <v>1996</v>
      </c>
      <c r="AL94" s="1187"/>
      <c r="AM94" s="1874"/>
      <c r="AN94" s="1874"/>
      <c r="AO94" s="1874"/>
      <c r="AP94" s="1874"/>
      <c r="AQ94" s="1874"/>
      <c r="AR94" s="1874"/>
      <c r="AS94" s="1874"/>
      <c r="AT94" s="1874"/>
      <c r="AU94" s="1874"/>
      <c r="AV94" s="1874"/>
      <c r="AW94" s="1874"/>
      <c r="AX94" s="1874"/>
      <c r="AY94" s="1874"/>
      <c r="AZ94" s="1874"/>
      <c r="BA94" s="1874"/>
      <c r="BB94" s="1874"/>
      <c r="BC94" s="1874"/>
      <c r="BD94" s="1874"/>
      <c r="BE94" s="1874"/>
      <c r="BF94" s="1874"/>
    </row>
    <row customHeight="1" ht="11.25">
      <c r="A95" s="1180" t="s">
        <v>1962</v>
      </c>
      <c r="B95" s="1180"/>
      <c r="C95" s="1180"/>
      <c r="D95" s="1174"/>
      <c r="E95" s="1184"/>
      <c r="F95" s="1881"/>
      <c r="G95" s="1882"/>
      <c r="H95" s="2094" t="s">
        <v>109</v>
      </c>
      <c r="I95" s="2095"/>
      <c r="J95" s="2096"/>
      <c r="K95" s="2097"/>
      <c r="L95" s="2086"/>
      <c r="M95" s="1947"/>
      <c r="N95" s="2087"/>
      <c r="O95" s="2088">
        <v>1</v>
      </c>
      <c r="P95" s="2089" t="s">
        <v>56</v>
      </c>
      <c r="Q95" s="2092" t="s">
        <v>18</v>
      </c>
      <c r="R95" s="2092" t="s">
        <v>18</v>
      </c>
      <c r="S95" s="2092" t="s">
        <v>18</v>
      </c>
      <c r="T95" s="2092" t="s">
        <v>18</v>
      </c>
      <c r="U95" s="2092" t="s">
        <v>18</v>
      </c>
      <c r="V95" s="2092" t="s">
        <v>18</v>
      </c>
      <c r="W95" s="2092" t="s">
        <v>18</v>
      </c>
      <c r="X95" s="2092" t="s">
        <v>18</v>
      </c>
      <c r="Y95" s="2092"/>
      <c r="Z95" s="1190"/>
      <c r="AA95" s="1191"/>
      <c r="AB95" s="1191"/>
      <c r="AC95" s="1195"/>
      <c r="AD95" s="1195"/>
      <c r="AE95" s="1196"/>
      <c r="AF95" s="2085"/>
      <c r="AG95" s="2086"/>
      <c r="AH95" s="2086"/>
      <c r="AI95" s="2085"/>
      <c r="AJ95" s="2086"/>
      <c r="AK95" s="2086"/>
      <c r="AL95" s="1187"/>
      <c r="AM95" s="1874"/>
      <c r="AN95" s="1874"/>
      <c r="AO95" s="1874"/>
      <c r="AP95" s="1874"/>
      <c r="AQ95" s="1874"/>
      <c r="AR95" s="1874"/>
      <c r="AS95" s="1874"/>
      <c r="AT95" s="1874"/>
      <c r="AU95" s="1874"/>
      <c r="AV95" s="1874"/>
      <c r="AW95" s="1874"/>
      <c r="AX95" s="1874"/>
      <c r="AY95" s="1874"/>
      <c r="AZ95" s="1874"/>
      <c r="BA95" s="1874"/>
      <c r="BB95" s="1874"/>
      <c r="BC95" s="1874"/>
      <c r="BD95" s="1874"/>
      <c r="BE95" s="1874"/>
      <c r="BF95" s="1874"/>
    </row>
    <row customHeight="1" ht="11.25">
      <c r="A96" s="1180" t="s">
        <v>1962</v>
      </c>
      <c r="B96" s="1180"/>
      <c r="C96" s="1180"/>
      <c r="D96" s="1174"/>
      <c r="E96" s="1184"/>
      <c r="F96" s="1881"/>
      <c r="G96" s="1882"/>
      <c r="H96" s="2094" t="s">
        <v>109</v>
      </c>
      <c r="I96" s="2095"/>
      <c r="J96" s="2096"/>
      <c r="K96" s="2097"/>
      <c r="L96" s="2086"/>
      <c r="M96" s="1947"/>
      <c r="N96" s="2087"/>
      <c r="O96" s="2088"/>
      <c r="P96" s="2090"/>
      <c r="Q96" s="2092"/>
      <c r="R96" s="2092"/>
      <c r="S96" s="2093"/>
      <c r="T96" s="2092"/>
      <c r="U96" s="2092"/>
      <c r="V96" s="2092"/>
      <c r="W96" s="2092"/>
      <c r="X96" s="2092"/>
      <c r="Y96" s="2092"/>
      <c r="Z96" s="1880"/>
      <c r="AA96" s="1845">
        <v>1</v>
      </c>
      <c r="AB96" s="1194" t="s">
        <v>804</v>
      </c>
      <c r="AC96" s="1183">
        <v>3014.34</v>
      </c>
      <c r="AD96" s="1194" t="str">
        <f>AB96</f>
        <v>     Прочие амортизационные отчисления</v>
      </c>
      <c r="AE96" s="1183">
        <v>3327.87</v>
      </c>
      <c r="AF96" s="2085"/>
      <c r="AG96" s="2086"/>
      <c r="AH96" s="2086"/>
      <c r="AI96" s="2085"/>
      <c r="AJ96" s="2086"/>
      <c r="AK96" s="2086"/>
      <c r="AL96" s="1187"/>
      <c r="AM96" s="1874"/>
      <c r="AN96" s="1874"/>
      <c r="AO96" s="1874"/>
      <c r="AP96" s="1874"/>
      <c r="AQ96" s="1874"/>
      <c r="AR96" s="1874"/>
      <c r="AS96" s="1874"/>
      <c r="AT96" s="1874"/>
      <c r="AU96" s="1874"/>
      <c r="AV96" s="1874"/>
      <c r="AW96" s="1874"/>
      <c r="AX96" s="1874"/>
      <c r="AY96" s="1874"/>
      <c r="AZ96" s="1874"/>
      <c r="BA96" s="1874"/>
      <c r="BB96" s="1874"/>
      <c r="BC96" s="1874"/>
      <c r="BD96" s="1874"/>
      <c r="BE96" s="1874"/>
      <c r="BF96" s="1874"/>
    </row>
    <row customHeight="1" ht="11.25">
      <c r="A97" s="1180" t="s">
        <v>1962</v>
      </c>
      <c r="B97" s="1180"/>
      <c r="C97" s="1180"/>
      <c r="D97" s="1174"/>
      <c r="E97" s="1184"/>
      <c r="F97" s="1881"/>
      <c r="G97" s="1882"/>
      <c r="H97" s="2094" t="s">
        <v>109</v>
      </c>
      <c r="I97" s="2095"/>
      <c r="J97" s="2096"/>
      <c r="K97" s="2097"/>
      <c r="L97" s="2086"/>
      <c r="M97" s="1947"/>
      <c r="N97" s="2087"/>
      <c r="O97" s="2088"/>
      <c r="P97" s="2091"/>
      <c r="Q97" s="2092"/>
      <c r="R97" s="2092"/>
      <c r="S97" s="2093"/>
      <c r="T97" s="2092"/>
      <c r="U97" s="2092"/>
      <c r="V97" s="2092"/>
      <c r="W97" s="2092"/>
      <c r="X97" s="2092"/>
      <c r="Y97" s="2092"/>
      <c r="Z97" s="1190"/>
      <c r="AA97" s="1191"/>
      <c r="AB97" s="1265" t="s">
        <v>408</v>
      </c>
      <c r="AC97" s="1195"/>
      <c r="AD97" s="1195"/>
      <c r="AE97" s="1197"/>
      <c r="AF97" s="2085"/>
      <c r="AG97" s="2086"/>
      <c r="AH97" s="2086"/>
      <c r="AI97" s="2085"/>
      <c r="AJ97" s="2086"/>
      <c r="AK97" s="2086"/>
      <c r="AL97" s="1187"/>
      <c r="AM97" s="1874"/>
      <c r="AN97" s="1874"/>
      <c r="AO97" s="1874"/>
      <c r="AP97" s="1874"/>
      <c r="AQ97" s="1874"/>
      <c r="AR97" s="1874"/>
      <c r="AS97" s="1874"/>
      <c r="AT97" s="1874"/>
      <c r="AU97" s="1874"/>
      <c r="AV97" s="1874"/>
      <c r="AW97" s="1874"/>
      <c r="AX97" s="1874"/>
      <c r="AY97" s="1874"/>
      <c r="AZ97" s="1874"/>
      <c r="BA97" s="1874"/>
      <c r="BB97" s="1874"/>
      <c r="BC97" s="1874"/>
      <c r="BD97" s="1874"/>
      <c r="BE97" s="1874"/>
      <c r="BF97" s="1874"/>
    </row>
    <row customHeight="1" ht="11.25">
      <c r="A98" s="1180" t="s">
        <v>1962</v>
      </c>
      <c r="B98" s="1180"/>
      <c r="C98" s="1180"/>
      <c r="D98" s="1174"/>
      <c r="E98" s="1184"/>
      <c r="F98" s="1881"/>
      <c r="G98" s="1882"/>
      <c r="H98" s="2094" t="s">
        <v>109</v>
      </c>
      <c r="I98" s="2095"/>
      <c r="J98" s="2096"/>
      <c r="K98" s="2097"/>
      <c r="L98" s="2086"/>
      <c r="M98" s="1947"/>
      <c r="N98" s="1191"/>
      <c r="O98" s="1191"/>
      <c r="P98" s="1182" t="s">
        <v>409</v>
      </c>
      <c r="Q98" s="1191"/>
      <c r="R98" s="1191"/>
      <c r="S98" s="1191"/>
      <c r="T98" s="1191"/>
      <c r="U98" s="1191"/>
      <c r="V98" s="1191"/>
      <c r="W98" s="1191"/>
      <c r="X98" s="1191"/>
      <c r="Y98" s="1191"/>
      <c r="Z98" s="1191"/>
      <c r="AA98" s="1191"/>
      <c r="AB98" s="1191"/>
      <c r="AC98" s="1191"/>
      <c r="AD98" s="1191"/>
      <c r="AE98" s="1198"/>
      <c r="AF98" s="2085"/>
      <c r="AG98" s="2086"/>
      <c r="AH98" s="2086"/>
      <c r="AI98" s="2085"/>
      <c r="AJ98" s="2086"/>
      <c r="AK98" s="2086"/>
      <c r="AL98" s="1187"/>
      <c r="AM98" s="1874"/>
      <c r="AN98" s="1874"/>
      <c r="AO98" s="1874"/>
      <c r="AP98" s="1874"/>
      <c r="AQ98" s="1874"/>
      <c r="AR98" s="1874"/>
      <c r="AS98" s="1874"/>
      <c r="AT98" s="1874"/>
      <c r="AU98" s="1874"/>
      <c r="AV98" s="1874"/>
      <c r="AW98" s="1874"/>
      <c r="AX98" s="1874"/>
      <c r="AY98" s="1874"/>
      <c r="AZ98" s="1874"/>
      <c r="BA98" s="1874"/>
      <c r="BB98" s="1874"/>
      <c r="BC98" s="1874"/>
      <c r="BD98" s="1874"/>
      <c r="BE98" s="1874"/>
      <c r="BF98" s="1874"/>
    </row>
    <row customHeight="1" ht="11.25">
      <c r="A99" s="1180" t="s">
        <v>1962</v>
      </c>
      <c r="B99" s="1180"/>
      <c r="C99" s="1180"/>
      <c r="D99" s="1174"/>
      <c r="E99" s="1184"/>
      <c r="F99" s="1881"/>
      <c r="G99" s="4144" t="s">
        <v>121</v>
      </c>
      <c r="H99" s="2094" t="s">
        <v>90</v>
      </c>
      <c r="I99" s="2095"/>
      <c r="J99" s="2096"/>
      <c r="K99" s="2097" t="s">
        <v>2000</v>
      </c>
      <c r="L99" s="2086" t="s">
        <v>56</v>
      </c>
      <c r="M99" s="1947"/>
      <c r="N99" s="1193"/>
      <c r="O99" s="1192" t="s">
        <v>371</v>
      </c>
      <c r="P99" s="1193"/>
      <c r="Q99" s="1193"/>
      <c r="R99" s="1193"/>
      <c r="S99" s="1193"/>
      <c r="T99" s="1193"/>
      <c r="U99" s="1193"/>
      <c r="V99" s="1193"/>
      <c r="W99" s="1193"/>
      <c r="X99" s="1193"/>
      <c r="Y99" s="1193"/>
      <c r="Z99" s="1193"/>
      <c r="AA99" s="1193"/>
      <c r="AB99" s="1193"/>
      <c r="AC99" s="1193"/>
      <c r="AD99" s="1193"/>
      <c r="AE99" s="1193"/>
      <c r="AF99" s="2085">
        <v>2023</v>
      </c>
      <c r="AG99" s="2086" t="s">
        <v>835</v>
      </c>
      <c r="AH99" s="2086" t="s">
        <v>1996</v>
      </c>
      <c r="AI99" s="2085">
        <v>2023</v>
      </c>
      <c r="AJ99" s="2086" t="s">
        <v>835</v>
      </c>
      <c r="AK99" s="2086" t="s">
        <v>1996</v>
      </c>
      <c r="AL99" s="1187"/>
      <c r="AM99" s="1874"/>
      <c r="AN99" s="1874"/>
      <c r="AO99" s="1874"/>
      <c r="AP99" s="1874"/>
      <c r="AQ99" s="1874"/>
      <c r="AR99" s="1874"/>
      <c r="AS99" s="1874"/>
      <c r="AT99" s="1874"/>
      <c r="AU99" s="1874"/>
      <c r="AV99" s="1874"/>
      <c r="AW99" s="1874"/>
      <c r="AX99" s="1874"/>
      <c r="AY99" s="1874"/>
      <c r="AZ99" s="1874"/>
      <c r="BA99" s="1874"/>
      <c r="BB99" s="1874"/>
      <c r="BC99" s="1874"/>
      <c r="BD99" s="1874"/>
      <c r="BE99" s="1874"/>
      <c r="BF99" s="1874"/>
    </row>
    <row customHeight="1" ht="11.25">
      <c r="A100" s="1180" t="s">
        <v>1962</v>
      </c>
      <c r="B100" s="1180"/>
      <c r="C100" s="1180"/>
      <c r="D100" s="1174"/>
      <c r="E100" s="1184"/>
      <c r="F100" s="1881"/>
      <c r="G100" s="1882"/>
      <c r="H100" s="2094" t="s">
        <v>110</v>
      </c>
      <c r="I100" s="2095"/>
      <c r="J100" s="2096"/>
      <c r="K100" s="2097"/>
      <c r="L100" s="2086"/>
      <c r="M100" s="1947"/>
      <c r="N100" s="2087"/>
      <c r="O100" s="2088">
        <v>1</v>
      </c>
      <c r="P100" s="2089" t="s">
        <v>56</v>
      </c>
      <c r="Q100" s="2092" t="s">
        <v>18</v>
      </c>
      <c r="R100" s="2092" t="s">
        <v>18</v>
      </c>
      <c r="S100" s="2092" t="s">
        <v>18</v>
      </c>
      <c r="T100" s="2092" t="s">
        <v>18</v>
      </c>
      <c r="U100" s="2092" t="s">
        <v>18</v>
      </c>
      <c r="V100" s="2092" t="s">
        <v>18</v>
      </c>
      <c r="W100" s="2092" t="s">
        <v>18</v>
      </c>
      <c r="X100" s="2092" t="s">
        <v>18</v>
      </c>
      <c r="Y100" s="2092"/>
      <c r="Z100" s="1190"/>
      <c r="AA100" s="1191"/>
      <c r="AB100" s="1191"/>
      <c r="AC100" s="1195"/>
      <c r="AD100" s="1195"/>
      <c r="AE100" s="1196"/>
      <c r="AF100" s="2085"/>
      <c r="AG100" s="2086"/>
      <c r="AH100" s="2086"/>
      <c r="AI100" s="2085"/>
      <c r="AJ100" s="2086"/>
      <c r="AK100" s="2086"/>
      <c r="AL100" s="1187"/>
      <c r="AM100" s="1874"/>
      <c r="AN100" s="1874"/>
      <c r="AO100" s="1874"/>
      <c r="AP100" s="1874"/>
      <c r="AQ100" s="1874"/>
      <c r="AR100" s="1874"/>
      <c r="AS100" s="1874"/>
      <c r="AT100" s="1874"/>
      <c r="AU100" s="1874"/>
      <c r="AV100" s="1874"/>
      <c r="AW100" s="1874"/>
      <c r="AX100" s="1874"/>
      <c r="AY100" s="1874"/>
      <c r="AZ100" s="1874"/>
      <c r="BA100" s="1874"/>
      <c r="BB100" s="1874"/>
      <c r="BC100" s="1874"/>
      <c r="BD100" s="1874"/>
      <c r="BE100" s="1874"/>
      <c r="BF100" s="1874"/>
    </row>
    <row customHeight="1" ht="11.25">
      <c r="A101" s="1180" t="s">
        <v>1962</v>
      </c>
      <c r="B101" s="1180"/>
      <c r="C101" s="1180"/>
      <c r="D101" s="1174"/>
      <c r="E101" s="1184"/>
      <c r="F101" s="1881"/>
      <c r="G101" s="1882"/>
      <c r="H101" s="2094" t="s">
        <v>110</v>
      </c>
      <c r="I101" s="2095"/>
      <c r="J101" s="2096"/>
      <c r="K101" s="2097"/>
      <c r="L101" s="2086"/>
      <c r="M101" s="1947"/>
      <c r="N101" s="2087"/>
      <c r="O101" s="2088"/>
      <c r="P101" s="2090"/>
      <c r="Q101" s="2092"/>
      <c r="R101" s="2092"/>
      <c r="S101" s="2093"/>
      <c r="T101" s="2092"/>
      <c r="U101" s="2092"/>
      <c r="V101" s="2092"/>
      <c r="W101" s="2092"/>
      <c r="X101" s="2092"/>
      <c r="Y101" s="2092"/>
      <c r="Z101" s="1880"/>
      <c r="AA101" s="1845">
        <v>1</v>
      </c>
      <c r="AB101" s="1194" t="s">
        <v>804</v>
      </c>
      <c r="AC101" s="1183">
        <v>1881.32</v>
      </c>
      <c r="AD101" s="1194" t="str">
        <f>AB101</f>
        <v>     Прочие амортизационные отчисления</v>
      </c>
      <c r="AE101" s="1183">
        <v>1571.86</v>
      </c>
      <c r="AF101" s="2085"/>
      <c r="AG101" s="2086"/>
      <c r="AH101" s="2086"/>
      <c r="AI101" s="2085"/>
      <c r="AJ101" s="2086"/>
      <c r="AK101" s="2086"/>
      <c r="AL101" s="1187"/>
      <c r="AM101" s="1874"/>
      <c r="AN101" s="1874"/>
      <c r="AO101" s="1874"/>
      <c r="AP101" s="1874"/>
      <c r="AQ101" s="1874"/>
      <c r="AR101" s="1874"/>
      <c r="AS101" s="1874"/>
      <c r="AT101" s="1874"/>
      <c r="AU101" s="1874"/>
      <c r="AV101" s="1874"/>
      <c r="AW101" s="1874"/>
      <c r="AX101" s="1874"/>
      <c r="AY101" s="1874"/>
      <c r="AZ101" s="1874"/>
      <c r="BA101" s="1874"/>
      <c r="BB101" s="1874"/>
      <c r="BC101" s="1874"/>
      <c r="BD101" s="1874"/>
      <c r="BE101" s="1874"/>
      <c r="BF101" s="1874"/>
    </row>
    <row customHeight="1" ht="11.25">
      <c r="A102" s="1180" t="s">
        <v>1962</v>
      </c>
      <c r="B102" s="1180"/>
      <c r="C102" s="1180"/>
      <c r="D102" s="1174"/>
      <c r="E102" s="1184"/>
      <c r="F102" s="1881"/>
      <c r="G102" s="1882"/>
      <c r="H102" s="2094" t="s">
        <v>110</v>
      </c>
      <c r="I102" s="2095"/>
      <c r="J102" s="2096"/>
      <c r="K102" s="2097"/>
      <c r="L102" s="2086"/>
      <c r="M102" s="1947"/>
      <c r="N102" s="2087"/>
      <c r="O102" s="2088"/>
      <c r="P102" s="2091"/>
      <c r="Q102" s="2092"/>
      <c r="R102" s="2092"/>
      <c r="S102" s="2093"/>
      <c r="T102" s="2092"/>
      <c r="U102" s="2092"/>
      <c r="V102" s="2092"/>
      <c r="W102" s="2092"/>
      <c r="X102" s="2092"/>
      <c r="Y102" s="2092"/>
      <c r="Z102" s="1190"/>
      <c r="AA102" s="1191"/>
      <c r="AB102" s="1265" t="s">
        <v>408</v>
      </c>
      <c r="AC102" s="1195"/>
      <c r="AD102" s="1195"/>
      <c r="AE102" s="1197"/>
      <c r="AF102" s="2085"/>
      <c r="AG102" s="2086"/>
      <c r="AH102" s="2086"/>
      <c r="AI102" s="2085"/>
      <c r="AJ102" s="2086"/>
      <c r="AK102" s="2086"/>
      <c r="AL102" s="1187"/>
      <c r="AM102" s="1874"/>
      <c r="AN102" s="1874"/>
      <c r="AO102" s="1874"/>
      <c r="AP102" s="1874"/>
      <c r="AQ102" s="1874"/>
      <c r="AR102" s="1874"/>
      <c r="AS102" s="1874"/>
      <c r="AT102" s="1874"/>
      <c r="AU102" s="1874"/>
      <c r="AV102" s="1874"/>
      <c r="AW102" s="1874"/>
      <c r="AX102" s="1874"/>
      <c r="AY102" s="1874"/>
      <c r="AZ102" s="1874"/>
      <c r="BA102" s="1874"/>
      <c r="BB102" s="1874"/>
      <c r="BC102" s="1874"/>
      <c r="BD102" s="1874"/>
      <c r="BE102" s="1874"/>
      <c r="BF102" s="1874"/>
    </row>
    <row customHeight="1" ht="11.25">
      <c r="A103" s="1180" t="s">
        <v>1962</v>
      </c>
      <c r="B103" s="1180"/>
      <c r="C103" s="1180"/>
      <c r="D103" s="1174"/>
      <c r="E103" s="1184"/>
      <c r="F103" s="1881"/>
      <c r="G103" s="1882"/>
      <c r="H103" s="2094" t="s">
        <v>110</v>
      </c>
      <c r="I103" s="2095"/>
      <c r="J103" s="2096"/>
      <c r="K103" s="2097"/>
      <c r="L103" s="2086"/>
      <c r="M103" s="1947"/>
      <c r="N103" s="1191"/>
      <c r="O103" s="1191"/>
      <c r="P103" s="1182" t="s">
        <v>409</v>
      </c>
      <c r="Q103" s="1191"/>
      <c r="R103" s="1191"/>
      <c r="S103" s="1191"/>
      <c r="T103" s="1191"/>
      <c r="U103" s="1191"/>
      <c r="V103" s="1191"/>
      <c r="W103" s="1191"/>
      <c r="X103" s="1191"/>
      <c r="Y103" s="1191"/>
      <c r="Z103" s="1191"/>
      <c r="AA103" s="1191"/>
      <c r="AB103" s="1191"/>
      <c r="AC103" s="1191"/>
      <c r="AD103" s="1191"/>
      <c r="AE103" s="1198"/>
      <c r="AF103" s="2085"/>
      <c r="AG103" s="2086"/>
      <c r="AH103" s="2086"/>
      <c r="AI103" s="2085"/>
      <c r="AJ103" s="2086"/>
      <c r="AK103" s="2086"/>
      <c r="AL103" s="1187"/>
      <c r="AM103" s="1874"/>
      <c r="AN103" s="1874"/>
      <c r="AO103" s="1874"/>
      <c r="AP103" s="1874"/>
      <c r="AQ103" s="1874"/>
      <c r="AR103" s="1874"/>
      <c r="AS103" s="1874"/>
      <c r="AT103" s="1874"/>
      <c r="AU103" s="1874"/>
      <c r="AV103" s="1874"/>
      <c r="AW103" s="1874"/>
      <c r="AX103" s="1874"/>
      <c r="AY103" s="1874"/>
      <c r="AZ103" s="1874"/>
      <c r="BA103" s="1874"/>
      <c r="BB103" s="1874"/>
      <c r="BC103" s="1874"/>
      <c r="BD103" s="1874"/>
      <c r="BE103" s="1874"/>
      <c r="BF103" s="1874"/>
    </row>
    <row customHeight="1" ht="11.25">
      <c r="A104" s="1180" t="s">
        <v>1962</v>
      </c>
      <c r="B104" s="1180"/>
      <c r="C104" s="1180"/>
      <c r="D104" s="1174"/>
      <c r="E104" s="1184"/>
      <c r="F104" s="1881"/>
      <c r="G104" s="4144" t="s">
        <v>121</v>
      </c>
      <c r="H104" s="2094" t="s">
        <v>91</v>
      </c>
      <c r="I104" s="2095"/>
      <c r="J104" s="2096"/>
      <c r="K104" s="2097" t="s">
        <v>1997</v>
      </c>
      <c r="L104" s="2086" t="s">
        <v>56</v>
      </c>
      <c r="M104" s="1947"/>
      <c r="N104" s="1193"/>
      <c r="O104" s="1192" t="s">
        <v>371</v>
      </c>
      <c r="P104" s="1193"/>
      <c r="Q104" s="1193"/>
      <c r="R104" s="1193"/>
      <c r="S104" s="1193"/>
      <c r="T104" s="1193"/>
      <c r="U104" s="1193"/>
      <c r="V104" s="1193"/>
      <c r="W104" s="1193"/>
      <c r="X104" s="1193"/>
      <c r="Y104" s="1193"/>
      <c r="Z104" s="1193"/>
      <c r="AA104" s="1193"/>
      <c r="AB104" s="1193"/>
      <c r="AC104" s="1193"/>
      <c r="AD104" s="1193"/>
      <c r="AE104" s="1193"/>
      <c r="AF104" s="2085">
        <v>2023</v>
      </c>
      <c r="AG104" s="2086" t="s">
        <v>835</v>
      </c>
      <c r="AH104" s="2086" t="s">
        <v>1996</v>
      </c>
      <c r="AI104" s="2085">
        <v>2023</v>
      </c>
      <c r="AJ104" s="2086" t="s">
        <v>835</v>
      </c>
      <c r="AK104" s="2086" t="s">
        <v>1996</v>
      </c>
      <c r="AL104" s="1187"/>
      <c r="AM104" s="1874"/>
      <c r="AN104" s="1874"/>
      <c r="AO104" s="1874"/>
      <c r="AP104" s="1874"/>
      <c r="AQ104" s="1874"/>
      <c r="AR104" s="1874"/>
      <c r="AS104" s="1874"/>
      <c r="AT104" s="1874"/>
      <c r="AU104" s="1874"/>
      <c r="AV104" s="1874"/>
      <c r="AW104" s="1874"/>
      <c r="AX104" s="1874"/>
      <c r="AY104" s="1874"/>
      <c r="AZ104" s="1874"/>
      <c r="BA104" s="1874"/>
      <c r="BB104" s="1874"/>
      <c r="BC104" s="1874"/>
      <c r="BD104" s="1874"/>
      <c r="BE104" s="1874"/>
      <c r="BF104" s="1874"/>
    </row>
    <row customHeight="1" ht="11.25">
      <c r="A105" s="1180" t="s">
        <v>1962</v>
      </c>
      <c r="B105" s="1180"/>
      <c r="C105" s="1180"/>
      <c r="D105" s="1174"/>
      <c r="E105" s="1184"/>
      <c r="F105" s="1881"/>
      <c r="G105" s="1882"/>
      <c r="H105" s="2094" t="s">
        <v>90</v>
      </c>
      <c r="I105" s="2095"/>
      <c r="J105" s="2096"/>
      <c r="K105" s="2097"/>
      <c r="L105" s="2086"/>
      <c r="M105" s="1947"/>
      <c r="N105" s="2087"/>
      <c r="O105" s="2088">
        <v>1</v>
      </c>
      <c r="P105" s="2089" t="s">
        <v>56</v>
      </c>
      <c r="Q105" s="2092" t="s">
        <v>18</v>
      </c>
      <c r="R105" s="2092" t="s">
        <v>18</v>
      </c>
      <c r="S105" s="2092" t="s">
        <v>18</v>
      </c>
      <c r="T105" s="2092" t="s">
        <v>18</v>
      </c>
      <c r="U105" s="2092" t="s">
        <v>18</v>
      </c>
      <c r="V105" s="2092" t="s">
        <v>18</v>
      </c>
      <c r="W105" s="2092" t="s">
        <v>18</v>
      </c>
      <c r="X105" s="2092" t="s">
        <v>18</v>
      </c>
      <c r="Y105" s="2092"/>
      <c r="Z105" s="1190"/>
      <c r="AA105" s="1191"/>
      <c r="AB105" s="1191"/>
      <c r="AC105" s="1195"/>
      <c r="AD105" s="1195"/>
      <c r="AE105" s="1196"/>
      <c r="AF105" s="2085"/>
      <c r="AG105" s="2086"/>
      <c r="AH105" s="2086"/>
      <c r="AI105" s="2085"/>
      <c r="AJ105" s="2086"/>
      <c r="AK105" s="2086"/>
      <c r="AL105" s="1187"/>
      <c r="AM105" s="1874"/>
      <c r="AN105" s="1874"/>
      <c r="AO105" s="1874"/>
      <c r="AP105" s="1874"/>
      <c r="AQ105" s="1874"/>
      <c r="AR105" s="1874"/>
      <c r="AS105" s="1874"/>
      <c r="AT105" s="1874"/>
      <c r="AU105" s="1874"/>
      <c r="AV105" s="1874"/>
      <c r="AW105" s="1874"/>
      <c r="AX105" s="1874"/>
      <c r="AY105" s="1874"/>
      <c r="AZ105" s="1874"/>
      <c r="BA105" s="1874"/>
      <c r="BB105" s="1874"/>
      <c r="BC105" s="1874"/>
      <c r="BD105" s="1874"/>
      <c r="BE105" s="1874"/>
      <c r="BF105" s="1874"/>
    </row>
    <row customHeight="1" ht="11.25">
      <c r="A106" s="1180" t="s">
        <v>1962</v>
      </c>
      <c r="B106" s="1180"/>
      <c r="C106" s="1180"/>
      <c r="D106" s="1174"/>
      <c r="E106" s="1184"/>
      <c r="F106" s="1881"/>
      <c r="G106" s="1882"/>
      <c r="H106" s="2094" t="s">
        <v>90</v>
      </c>
      <c r="I106" s="2095"/>
      <c r="J106" s="2096"/>
      <c r="K106" s="2097"/>
      <c r="L106" s="2086"/>
      <c r="M106" s="1947"/>
      <c r="N106" s="2087"/>
      <c r="O106" s="2088"/>
      <c r="P106" s="2090"/>
      <c r="Q106" s="2092"/>
      <c r="R106" s="2092"/>
      <c r="S106" s="2093"/>
      <c r="T106" s="2092"/>
      <c r="U106" s="2092"/>
      <c r="V106" s="2092"/>
      <c r="W106" s="2092"/>
      <c r="X106" s="2092"/>
      <c r="Y106" s="2092"/>
      <c r="Z106" s="1880"/>
      <c r="AA106" s="1845">
        <v>1</v>
      </c>
      <c r="AB106" s="1194" t="s">
        <v>804</v>
      </c>
      <c r="AC106" s="1183">
        <v>3105.6</v>
      </c>
      <c r="AD106" s="1194" t="str">
        <f>AB106</f>
        <v>     Прочие амортизационные отчисления</v>
      </c>
      <c r="AE106" s="1183">
        <v>7813.32</v>
      </c>
      <c r="AF106" s="2085"/>
      <c r="AG106" s="2086"/>
      <c r="AH106" s="2086"/>
      <c r="AI106" s="2085"/>
      <c r="AJ106" s="2086"/>
      <c r="AK106" s="2086"/>
      <c r="AL106" s="1187"/>
      <c r="AM106" s="1874"/>
      <c r="AN106" s="1874"/>
      <c r="AO106" s="1874"/>
      <c r="AP106" s="1874"/>
      <c r="AQ106" s="1874"/>
      <c r="AR106" s="1874"/>
      <c r="AS106" s="1874"/>
      <c r="AT106" s="1874"/>
      <c r="AU106" s="1874"/>
      <c r="AV106" s="1874"/>
      <c r="AW106" s="1874"/>
      <c r="AX106" s="1874"/>
      <c r="AY106" s="1874"/>
      <c r="AZ106" s="1874"/>
      <c r="BA106" s="1874"/>
      <c r="BB106" s="1874"/>
      <c r="BC106" s="1874"/>
      <c r="BD106" s="1874"/>
      <c r="BE106" s="1874"/>
      <c r="BF106" s="1874"/>
    </row>
    <row customHeight="1" ht="11.25">
      <c r="A107" s="1180" t="s">
        <v>1962</v>
      </c>
      <c r="B107" s="1180"/>
      <c r="C107" s="1180"/>
      <c r="D107" s="1174"/>
      <c r="E107" s="1184"/>
      <c r="F107" s="1881"/>
      <c r="G107" s="1882"/>
      <c r="H107" s="2094" t="s">
        <v>90</v>
      </c>
      <c r="I107" s="2095"/>
      <c r="J107" s="2096"/>
      <c r="K107" s="2097"/>
      <c r="L107" s="2086"/>
      <c r="M107" s="1947"/>
      <c r="N107" s="2087"/>
      <c r="O107" s="2088"/>
      <c r="P107" s="2091"/>
      <c r="Q107" s="2092"/>
      <c r="R107" s="2092"/>
      <c r="S107" s="2093"/>
      <c r="T107" s="2092"/>
      <c r="U107" s="2092"/>
      <c r="V107" s="2092"/>
      <c r="W107" s="2092"/>
      <c r="X107" s="2092"/>
      <c r="Y107" s="2092"/>
      <c r="Z107" s="1190"/>
      <c r="AA107" s="1191"/>
      <c r="AB107" s="1265" t="s">
        <v>408</v>
      </c>
      <c r="AC107" s="1195"/>
      <c r="AD107" s="1195"/>
      <c r="AE107" s="1197"/>
      <c r="AF107" s="2085"/>
      <c r="AG107" s="2086"/>
      <c r="AH107" s="2086"/>
      <c r="AI107" s="2085"/>
      <c r="AJ107" s="2086"/>
      <c r="AK107" s="2086"/>
      <c r="AL107" s="1187"/>
      <c r="AM107" s="1874"/>
      <c r="AN107" s="1874"/>
      <c r="AO107" s="1874"/>
      <c r="AP107" s="1874"/>
      <c r="AQ107" s="1874"/>
      <c r="AR107" s="1874"/>
      <c r="AS107" s="1874"/>
      <c r="AT107" s="1874"/>
      <c r="AU107" s="1874"/>
      <c r="AV107" s="1874"/>
      <c r="AW107" s="1874"/>
      <c r="AX107" s="1874"/>
      <c r="AY107" s="1874"/>
      <c r="AZ107" s="1874"/>
      <c r="BA107" s="1874"/>
      <c r="BB107" s="1874"/>
      <c r="BC107" s="1874"/>
      <c r="BD107" s="1874"/>
      <c r="BE107" s="1874"/>
      <c r="BF107" s="1874"/>
    </row>
    <row customHeight="1" ht="11.25">
      <c r="A108" s="1180" t="s">
        <v>1962</v>
      </c>
      <c r="B108" s="1180"/>
      <c r="C108" s="1180"/>
      <c r="D108" s="1174"/>
      <c r="E108" s="1184"/>
      <c r="F108" s="1881"/>
      <c r="G108" s="1882"/>
      <c r="H108" s="2094" t="s">
        <v>90</v>
      </c>
      <c r="I108" s="2095"/>
      <c r="J108" s="2096"/>
      <c r="K108" s="2097"/>
      <c r="L108" s="2086"/>
      <c r="M108" s="1947"/>
      <c r="N108" s="1191"/>
      <c r="O108" s="1191"/>
      <c r="P108" s="1182" t="s">
        <v>409</v>
      </c>
      <c r="Q108" s="1191"/>
      <c r="R108" s="1191"/>
      <c r="S108" s="1191"/>
      <c r="T108" s="1191"/>
      <c r="U108" s="1191"/>
      <c r="V108" s="1191"/>
      <c r="W108" s="1191"/>
      <c r="X108" s="1191"/>
      <c r="Y108" s="1191"/>
      <c r="Z108" s="1191"/>
      <c r="AA108" s="1191"/>
      <c r="AB108" s="1191"/>
      <c r="AC108" s="1191"/>
      <c r="AD108" s="1191"/>
      <c r="AE108" s="1198"/>
      <c r="AF108" s="2085"/>
      <c r="AG108" s="2086"/>
      <c r="AH108" s="2086"/>
      <c r="AI108" s="2085"/>
      <c r="AJ108" s="2086"/>
      <c r="AK108" s="2086"/>
      <c r="AL108" s="1187"/>
      <c r="AM108" s="1874"/>
      <c r="AN108" s="1874"/>
      <c r="AO108" s="1874"/>
      <c r="AP108" s="1874"/>
      <c r="AQ108" s="1874"/>
      <c r="AR108" s="1874"/>
      <c r="AS108" s="1874"/>
      <c r="AT108" s="1874"/>
      <c r="AU108" s="1874"/>
      <c r="AV108" s="1874"/>
      <c r="AW108" s="1874"/>
      <c r="AX108" s="1874"/>
      <c r="AY108" s="1874"/>
      <c r="AZ108" s="1874"/>
      <c r="BA108" s="1874"/>
      <c r="BB108" s="1874"/>
      <c r="BC108" s="1874"/>
      <c r="BD108" s="1874"/>
      <c r="BE108" s="1874"/>
      <c r="BF108" s="1874"/>
    </row>
    <row customHeight="1" ht="11.25">
      <c r="A109" s="1180" t="s">
        <v>1962</v>
      </c>
      <c r="B109" s="1180"/>
      <c r="C109" s="1180"/>
      <c r="D109" s="1174"/>
      <c r="E109" s="1184"/>
      <c r="F109" s="1881"/>
      <c r="G109" s="4144" t="s">
        <v>121</v>
      </c>
      <c r="H109" s="2094" t="s">
        <v>111</v>
      </c>
      <c r="I109" s="2095"/>
      <c r="J109" s="2096"/>
      <c r="K109" s="2097" t="s">
        <v>2002</v>
      </c>
      <c r="L109" s="2086" t="s">
        <v>56</v>
      </c>
      <c r="M109" s="1947"/>
      <c r="N109" s="1193"/>
      <c r="O109" s="1192" t="s">
        <v>371</v>
      </c>
      <c r="P109" s="1193"/>
      <c r="Q109" s="1193"/>
      <c r="R109" s="1193"/>
      <c r="S109" s="1193"/>
      <c r="T109" s="1193"/>
      <c r="U109" s="1193"/>
      <c r="V109" s="1193"/>
      <c r="W109" s="1193"/>
      <c r="X109" s="1193"/>
      <c r="Y109" s="1193"/>
      <c r="Z109" s="1193"/>
      <c r="AA109" s="1193"/>
      <c r="AB109" s="1193"/>
      <c r="AC109" s="1193"/>
      <c r="AD109" s="1193"/>
      <c r="AE109" s="1193"/>
      <c r="AF109" s="2085">
        <v>2023</v>
      </c>
      <c r="AG109" s="2086" t="s">
        <v>835</v>
      </c>
      <c r="AH109" s="2086" t="s">
        <v>1996</v>
      </c>
      <c r="AI109" s="2085">
        <v>2023</v>
      </c>
      <c r="AJ109" s="2086" t="s">
        <v>835</v>
      </c>
      <c r="AK109" s="2086" t="s">
        <v>1996</v>
      </c>
      <c r="AL109" s="1187"/>
      <c r="AM109" s="1874"/>
      <c r="AN109" s="1874"/>
      <c r="AO109" s="1874"/>
      <c r="AP109" s="1874"/>
      <c r="AQ109" s="1874"/>
      <c r="AR109" s="1874"/>
      <c r="AS109" s="1874"/>
      <c r="AT109" s="1874"/>
      <c r="AU109" s="1874"/>
      <c r="AV109" s="1874"/>
      <c r="AW109" s="1874"/>
      <c r="AX109" s="1874"/>
      <c r="AY109" s="1874"/>
      <c r="AZ109" s="1874"/>
      <c r="BA109" s="1874"/>
      <c r="BB109" s="1874"/>
      <c r="BC109" s="1874"/>
      <c r="BD109" s="1874"/>
      <c r="BE109" s="1874"/>
      <c r="BF109" s="1874"/>
    </row>
    <row customHeight="1" ht="11.25">
      <c r="A110" s="1180" t="s">
        <v>1962</v>
      </c>
      <c r="B110" s="1180"/>
      <c r="C110" s="1180"/>
      <c r="D110" s="1174"/>
      <c r="E110" s="1184"/>
      <c r="F110" s="1881"/>
      <c r="G110" s="1882"/>
      <c r="H110" s="2094" t="s">
        <v>91</v>
      </c>
      <c r="I110" s="2095"/>
      <c r="J110" s="2096"/>
      <c r="K110" s="2097"/>
      <c r="L110" s="2086"/>
      <c r="M110" s="1947"/>
      <c r="N110" s="2087"/>
      <c r="O110" s="2088">
        <v>1</v>
      </c>
      <c r="P110" s="2089" t="s">
        <v>56</v>
      </c>
      <c r="Q110" s="2092" t="s">
        <v>18</v>
      </c>
      <c r="R110" s="2092" t="s">
        <v>18</v>
      </c>
      <c r="S110" s="2092" t="s">
        <v>18</v>
      </c>
      <c r="T110" s="2092" t="s">
        <v>18</v>
      </c>
      <c r="U110" s="2092" t="s">
        <v>18</v>
      </c>
      <c r="V110" s="2092" t="s">
        <v>18</v>
      </c>
      <c r="W110" s="2092" t="s">
        <v>18</v>
      </c>
      <c r="X110" s="2092" t="s">
        <v>18</v>
      </c>
      <c r="Y110" s="2092"/>
      <c r="Z110" s="1190"/>
      <c r="AA110" s="1191"/>
      <c r="AB110" s="1191"/>
      <c r="AC110" s="1195"/>
      <c r="AD110" s="1195"/>
      <c r="AE110" s="1196"/>
      <c r="AF110" s="2085"/>
      <c r="AG110" s="2086"/>
      <c r="AH110" s="2086"/>
      <c r="AI110" s="2085"/>
      <c r="AJ110" s="2086"/>
      <c r="AK110" s="2086"/>
      <c r="AL110" s="1187"/>
      <c r="AM110" s="1874"/>
      <c r="AN110" s="1874"/>
      <c r="AO110" s="1874"/>
      <c r="AP110" s="1874"/>
      <c r="AQ110" s="1874"/>
      <c r="AR110" s="1874"/>
      <c r="AS110" s="1874"/>
      <c r="AT110" s="1874"/>
      <c r="AU110" s="1874"/>
      <c r="AV110" s="1874"/>
      <c r="AW110" s="1874"/>
      <c r="AX110" s="1874"/>
      <c r="AY110" s="1874"/>
      <c r="AZ110" s="1874"/>
      <c r="BA110" s="1874"/>
      <c r="BB110" s="1874"/>
      <c r="BC110" s="1874"/>
      <c r="BD110" s="1874"/>
      <c r="BE110" s="1874"/>
      <c r="BF110" s="1874"/>
    </row>
    <row customHeight="1" ht="11.25">
      <c r="A111" s="1180" t="s">
        <v>1962</v>
      </c>
      <c r="B111" s="1180"/>
      <c r="C111" s="1180"/>
      <c r="D111" s="1174"/>
      <c r="E111" s="1184"/>
      <c r="F111" s="1881"/>
      <c r="G111" s="1882"/>
      <c r="H111" s="2094" t="s">
        <v>91</v>
      </c>
      <c r="I111" s="2095"/>
      <c r="J111" s="2096"/>
      <c r="K111" s="2097"/>
      <c r="L111" s="2086"/>
      <c r="M111" s="1947"/>
      <c r="N111" s="2087"/>
      <c r="O111" s="2088"/>
      <c r="P111" s="2090"/>
      <c r="Q111" s="2092"/>
      <c r="R111" s="2092"/>
      <c r="S111" s="2093"/>
      <c r="T111" s="2092"/>
      <c r="U111" s="2092"/>
      <c r="V111" s="2092"/>
      <c r="W111" s="2092"/>
      <c r="X111" s="2092"/>
      <c r="Y111" s="2092"/>
      <c r="Z111" s="1880"/>
      <c r="AA111" s="1845">
        <v>1</v>
      </c>
      <c r="AB111" s="1194" t="s">
        <v>804</v>
      </c>
      <c r="AC111" s="1183">
        <v>5568.76</v>
      </c>
      <c r="AD111" s="1194" t="str">
        <f>AB111</f>
        <v>     Прочие амортизационные отчисления</v>
      </c>
      <c r="AE111" s="1183">
        <v>5545.84</v>
      </c>
      <c r="AF111" s="2085"/>
      <c r="AG111" s="2086"/>
      <c r="AH111" s="2086"/>
      <c r="AI111" s="2085"/>
      <c r="AJ111" s="2086"/>
      <c r="AK111" s="2086"/>
      <c r="AL111" s="1187"/>
      <c r="AM111" s="1874"/>
      <c r="AN111" s="1874"/>
      <c r="AO111" s="1874"/>
      <c r="AP111" s="1874"/>
      <c r="AQ111" s="1874"/>
      <c r="AR111" s="1874"/>
      <c r="AS111" s="1874"/>
      <c r="AT111" s="1874"/>
      <c r="AU111" s="1874"/>
      <c r="AV111" s="1874"/>
      <c r="AW111" s="1874"/>
      <c r="AX111" s="1874"/>
      <c r="AY111" s="1874"/>
      <c r="AZ111" s="1874"/>
      <c r="BA111" s="1874"/>
      <c r="BB111" s="1874"/>
      <c r="BC111" s="1874"/>
      <c r="BD111" s="1874"/>
      <c r="BE111" s="1874"/>
      <c r="BF111" s="1874"/>
    </row>
    <row customHeight="1" ht="11.25">
      <c r="A112" s="1180" t="s">
        <v>1962</v>
      </c>
      <c r="B112" s="1180"/>
      <c r="C112" s="1180"/>
      <c r="D112" s="1174"/>
      <c r="E112" s="1184"/>
      <c r="F112" s="1881"/>
      <c r="G112" s="1882"/>
      <c r="H112" s="2094" t="s">
        <v>91</v>
      </c>
      <c r="I112" s="2095"/>
      <c r="J112" s="2096"/>
      <c r="K112" s="2097"/>
      <c r="L112" s="2086"/>
      <c r="M112" s="1947"/>
      <c r="N112" s="2087"/>
      <c r="O112" s="2088"/>
      <c r="P112" s="2091"/>
      <c r="Q112" s="2092"/>
      <c r="R112" s="2092"/>
      <c r="S112" s="2093"/>
      <c r="T112" s="2092"/>
      <c r="U112" s="2092"/>
      <c r="V112" s="2092"/>
      <c r="W112" s="2092"/>
      <c r="X112" s="2092"/>
      <c r="Y112" s="2092"/>
      <c r="Z112" s="1190"/>
      <c r="AA112" s="1191"/>
      <c r="AB112" s="1265" t="s">
        <v>408</v>
      </c>
      <c r="AC112" s="1195"/>
      <c r="AD112" s="1195"/>
      <c r="AE112" s="1197"/>
      <c r="AF112" s="2085"/>
      <c r="AG112" s="2086"/>
      <c r="AH112" s="2086"/>
      <c r="AI112" s="2085"/>
      <c r="AJ112" s="2086"/>
      <c r="AK112" s="2086"/>
      <c r="AL112" s="1187"/>
      <c r="AM112" s="1874"/>
      <c r="AN112" s="1874"/>
      <c r="AO112" s="1874"/>
      <c r="AP112" s="1874"/>
      <c r="AQ112" s="1874"/>
      <c r="AR112" s="1874"/>
      <c r="AS112" s="1874"/>
      <c r="AT112" s="1874"/>
      <c r="AU112" s="1874"/>
      <c r="AV112" s="1874"/>
      <c r="AW112" s="1874"/>
      <c r="AX112" s="1874"/>
      <c r="AY112" s="1874"/>
      <c r="AZ112" s="1874"/>
      <c r="BA112" s="1874"/>
      <c r="BB112" s="1874"/>
      <c r="BC112" s="1874"/>
      <c r="BD112" s="1874"/>
      <c r="BE112" s="1874"/>
      <c r="BF112" s="1874"/>
    </row>
    <row customHeight="1" ht="11.25">
      <c r="A113" s="1180" t="s">
        <v>1962</v>
      </c>
      <c r="B113" s="1180"/>
      <c r="C113" s="1180"/>
      <c r="D113" s="1174"/>
      <c r="E113" s="1184"/>
      <c r="F113" s="1881"/>
      <c r="G113" s="1882"/>
      <c r="H113" s="2094" t="s">
        <v>91</v>
      </c>
      <c r="I113" s="2095"/>
      <c r="J113" s="2096"/>
      <c r="K113" s="2097"/>
      <c r="L113" s="2086"/>
      <c r="M113" s="1947"/>
      <c r="N113" s="1191"/>
      <c r="O113" s="1191"/>
      <c r="P113" s="1182" t="s">
        <v>409</v>
      </c>
      <c r="Q113" s="1191"/>
      <c r="R113" s="1191"/>
      <c r="S113" s="1191"/>
      <c r="T113" s="1191"/>
      <c r="U113" s="1191"/>
      <c r="V113" s="1191"/>
      <c r="W113" s="1191"/>
      <c r="X113" s="1191"/>
      <c r="Y113" s="1191"/>
      <c r="Z113" s="1191"/>
      <c r="AA113" s="1191"/>
      <c r="AB113" s="1191"/>
      <c r="AC113" s="1191"/>
      <c r="AD113" s="1191"/>
      <c r="AE113" s="1198"/>
      <c r="AF113" s="2085"/>
      <c r="AG113" s="2086"/>
      <c r="AH113" s="2086"/>
      <c r="AI113" s="2085"/>
      <c r="AJ113" s="2086"/>
      <c r="AK113" s="2086"/>
      <c r="AL113" s="1187"/>
      <c r="AM113" s="1874"/>
      <c r="AN113" s="1874"/>
      <c r="AO113" s="1874"/>
      <c r="AP113" s="1874"/>
      <c r="AQ113" s="1874"/>
      <c r="AR113" s="1874"/>
      <c r="AS113" s="1874"/>
      <c r="AT113" s="1874"/>
      <c r="AU113" s="1874"/>
      <c r="AV113" s="1874"/>
      <c r="AW113" s="1874"/>
      <c r="AX113" s="1874"/>
      <c r="AY113" s="1874"/>
      <c r="AZ113" s="1874"/>
      <c r="BA113" s="1874"/>
      <c r="BB113" s="1874"/>
      <c r="BC113" s="1874"/>
      <c r="BD113" s="1874"/>
      <c r="BE113" s="1874"/>
      <c r="BF113" s="1874"/>
    </row>
    <row customHeight="1" ht="11.25">
      <c r="A114" s="1180" t="s">
        <v>1962</v>
      </c>
      <c r="B114" s="1180"/>
      <c r="C114" s="1180"/>
      <c r="D114" s="1174"/>
      <c r="E114" s="1184"/>
      <c r="F114" s="1881"/>
      <c r="G114" s="4144" t="s">
        <v>121</v>
      </c>
      <c r="H114" s="2094" t="s">
        <v>92</v>
      </c>
      <c r="I114" s="2095"/>
      <c r="J114" s="2096"/>
      <c r="K114" s="2097" t="s">
        <v>2003</v>
      </c>
      <c r="L114" s="2086" t="s">
        <v>56</v>
      </c>
      <c r="M114" s="1947"/>
      <c r="N114" s="1193"/>
      <c r="O114" s="1192" t="s">
        <v>371</v>
      </c>
      <c r="P114" s="1193"/>
      <c r="Q114" s="1193"/>
      <c r="R114" s="1193"/>
      <c r="S114" s="1193"/>
      <c r="T114" s="1193"/>
      <c r="U114" s="1193"/>
      <c r="V114" s="1193"/>
      <c r="W114" s="1193"/>
      <c r="X114" s="1193"/>
      <c r="Y114" s="1193"/>
      <c r="Z114" s="1193"/>
      <c r="AA114" s="1193"/>
      <c r="AB114" s="1193"/>
      <c r="AC114" s="1193"/>
      <c r="AD114" s="1193"/>
      <c r="AE114" s="1193"/>
      <c r="AF114" s="2085">
        <v>2023</v>
      </c>
      <c r="AG114" s="2086" t="s">
        <v>835</v>
      </c>
      <c r="AH114" s="2086" t="s">
        <v>1996</v>
      </c>
      <c r="AI114" s="2085">
        <v>2023</v>
      </c>
      <c r="AJ114" s="2086" t="s">
        <v>835</v>
      </c>
      <c r="AK114" s="2086" t="s">
        <v>1996</v>
      </c>
      <c r="AL114" s="1187"/>
      <c r="AM114" s="1874"/>
      <c r="AN114" s="1874"/>
      <c r="AO114" s="1874"/>
      <c r="AP114" s="1874"/>
      <c r="AQ114" s="1874"/>
      <c r="AR114" s="1874"/>
      <c r="AS114" s="1874"/>
      <c r="AT114" s="1874"/>
      <c r="AU114" s="1874"/>
      <c r="AV114" s="1874"/>
      <c r="AW114" s="1874"/>
      <c r="AX114" s="1874"/>
      <c r="AY114" s="1874"/>
      <c r="AZ114" s="1874"/>
      <c r="BA114" s="1874"/>
      <c r="BB114" s="1874"/>
      <c r="BC114" s="1874"/>
      <c r="BD114" s="1874"/>
      <c r="BE114" s="1874"/>
      <c r="BF114" s="1874"/>
    </row>
    <row customHeight="1" ht="11.25">
      <c r="A115" s="1180" t="s">
        <v>1962</v>
      </c>
      <c r="B115" s="1180"/>
      <c r="C115" s="1180"/>
      <c r="D115" s="1174"/>
      <c r="E115" s="1184"/>
      <c r="F115" s="1881"/>
      <c r="G115" s="1882"/>
      <c r="H115" s="2094" t="s">
        <v>111</v>
      </c>
      <c r="I115" s="2095"/>
      <c r="J115" s="2096"/>
      <c r="K115" s="2097"/>
      <c r="L115" s="2086"/>
      <c r="M115" s="1947"/>
      <c r="N115" s="2087"/>
      <c r="O115" s="2088">
        <v>1</v>
      </c>
      <c r="P115" s="2089" t="s">
        <v>56</v>
      </c>
      <c r="Q115" s="2092" t="s">
        <v>18</v>
      </c>
      <c r="R115" s="2092" t="s">
        <v>18</v>
      </c>
      <c r="S115" s="2092" t="s">
        <v>18</v>
      </c>
      <c r="T115" s="2092" t="s">
        <v>18</v>
      </c>
      <c r="U115" s="2092" t="s">
        <v>18</v>
      </c>
      <c r="V115" s="2092" t="s">
        <v>18</v>
      </c>
      <c r="W115" s="2092" t="s">
        <v>18</v>
      </c>
      <c r="X115" s="2092" t="s">
        <v>18</v>
      </c>
      <c r="Y115" s="2092"/>
      <c r="Z115" s="1190"/>
      <c r="AA115" s="1191"/>
      <c r="AB115" s="1191"/>
      <c r="AC115" s="1195"/>
      <c r="AD115" s="1195"/>
      <c r="AE115" s="1196"/>
      <c r="AF115" s="2085"/>
      <c r="AG115" s="2086"/>
      <c r="AH115" s="2086"/>
      <c r="AI115" s="2085"/>
      <c r="AJ115" s="2086"/>
      <c r="AK115" s="2086"/>
      <c r="AL115" s="1187"/>
      <c r="AM115" s="1874"/>
      <c r="AN115" s="1874"/>
      <c r="AO115" s="1874"/>
      <c r="AP115" s="1874"/>
      <c r="AQ115" s="1874"/>
      <c r="AR115" s="1874"/>
      <c r="AS115" s="1874"/>
      <c r="AT115" s="1874"/>
      <c r="AU115" s="1874"/>
      <c r="AV115" s="1874"/>
      <c r="AW115" s="1874"/>
      <c r="AX115" s="1874"/>
      <c r="AY115" s="1874"/>
      <c r="AZ115" s="1874"/>
      <c r="BA115" s="1874"/>
      <c r="BB115" s="1874"/>
      <c r="BC115" s="1874"/>
      <c r="BD115" s="1874"/>
      <c r="BE115" s="1874"/>
      <c r="BF115" s="1874"/>
    </row>
    <row customHeight="1" ht="11.25">
      <c r="A116" s="1180" t="s">
        <v>1962</v>
      </c>
      <c r="B116" s="1180"/>
      <c r="C116" s="1180"/>
      <c r="D116" s="1174"/>
      <c r="E116" s="1184"/>
      <c r="F116" s="1881"/>
      <c r="G116" s="1882"/>
      <c r="H116" s="2094" t="s">
        <v>111</v>
      </c>
      <c r="I116" s="2095"/>
      <c r="J116" s="2096"/>
      <c r="K116" s="2097"/>
      <c r="L116" s="2086"/>
      <c r="M116" s="1947"/>
      <c r="N116" s="2087"/>
      <c r="O116" s="2088"/>
      <c r="P116" s="2090"/>
      <c r="Q116" s="2092"/>
      <c r="R116" s="2092"/>
      <c r="S116" s="2093"/>
      <c r="T116" s="2092"/>
      <c r="U116" s="2092"/>
      <c r="V116" s="2092"/>
      <c r="W116" s="2092"/>
      <c r="X116" s="2092"/>
      <c r="Y116" s="2092"/>
      <c r="Z116" s="1880"/>
      <c r="AA116" s="1845">
        <v>1</v>
      </c>
      <c r="AB116" s="1194" t="s">
        <v>804</v>
      </c>
      <c r="AC116" s="1183">
        <v>7018.31</v>
      </c>
      <c r="AD116" s="1194" t="str">
        <f>AB116</f>
        <v>     Прочие амортизационные отчисления</v>
      </c>
      <c r="AE116" s="1183">
        <v>6856.49</v>
      </c>
      <c r="AF116" s="2085"/>
      <c r="AG116" s="2086"/>
      <c r="AH116" s="2086"/>
      <c r="AI116" s="2085"/>
      <c r="AJ116" s="2086"/>
      <c r="AK116" s="2086"/>
      <c r="AL116" s="1187"/>
      <c r="AM116" s="1874"/>
      <c r="AN116" s="1874"/>
      <c r="AO116" s="1874"/>
      <c r="AP116" s="1874"/>
      <c r="AQ116" s="1874"/>
      <c r="AR116" s="1874"/>
      <c r="AS116" s="1874"/>
      <c r="AT116" s="1874"/>
      <c r="AU116" s="1874"/>
      <c r="AV116" s="1874"/>
      <c r="AW116" s="1874"/>
      <c r="AX116" s="1874"/>
      <c r="AY116" s="1874"/>
      <c r="AZ116" s="1874"/>
      <c r="BA116" s="1874"/>
      <c r="BB116" s="1874"/>
      <c r="BC116" s="1874"/>
      <c r="BD116" s="1874"/>
      <c r="BE116" s="1874"/>
      <c r="BF116" s="1874"/>
    </row>
    <row customHeight="1" ht="11.25">
      <c r="A117" s="1180" t="s">
        <v>1962</v>
      </c>
      <c r="B117" s="1180"/>
      <c r="C117" s="1180"/>
      <c r="D117" s="1174"/>
      <c r="E117" s="1184"/>
      <c r="F117" s="1881"/>
      <c r="G117" s="1882"/>
      <c r="H117" s="2094" t="s">
        <v>111</v>
      </c>
      <c r="I117" s="2095"/>
      <c r="J117" s="2096"/>
      <c r="K117" s="2097"/>
      <c r="L117" s="2086"/>
      <c r="M117" s="1947"/>
      <c r="N117" s="2087"/>
      <c r="O117" s="2088"/>
      <c r="P117" s="2091"/>
      <c r="Q117" s="2092"/>
      <c r="R117" s="2092"/>
      <c r="S117" s="2093"/>
      <c r="T117" s="2092"/>
      <c r="U117" s="2092"/>
      <c r="V117" s="2092"/>
      <c r="W117" s="2092"/>
      <c r="X117" s="2092"/>
      <c r="Y117" s="2092"/>
      <c r="Z117" s="1190"/>
      <c r="AA117" s="1191"/>
      <c r="AB117" s="1265" t="s">
        <v>408</v>
      </c>
      <c r="AC117" s="1195"/>
      <c r="AD117" s="1195"/>
      <c r="AE117" s="1197"/>
      <c r="AF117" s="2085"/>
      <c r="AG117" s="2086"/>
      <c r="AH117" s="2086"/>
      <c r="AI117" s="2085"/>
      <c r="AJ117" s="2086"/>
      <c r="AK117" s="2086"/>
      <c r="AL117" s="1187"/>
      <c r="AM117" s="1874"/>
      <c r="AN117" s="1874"/>
      <c r="AO117" s="1874"/>
      <c r="AP117" s="1874"/>
      <c r="AQ117" s="1874"/>
      <c r="AR117" s="1874"/>
      <c r="AS117" s="1874"/>
      <c r="AT117" s="1874"/>
      <c r="AU117" s="1874"/>
      <c r="AV117" s="1874"/>
      <c r="AW117" s="1874"/>
      <c r="AX117" s="1874"/>
      <c r="AY117" s="1874"/>
      <c r="AZ117" s="1874"/>
      <c r="BA117" s="1874"/>
      <c r="BB117" s="1874"/>
      <c r="BC117" s="1874"/>
      <c r="BD117" s="1874"/>
      <c r="BE117" s="1874"/>
      <c r="BF117" s="1874"/>
    </row>
    <row customHeight="1" ht="11.25">
      <c r="A118" s="1180" t="s">
        <v>1962</v>
      </c>
      <c r="B118" s="1180"/>
      <c r="C118" s="1180"/>
      <c r="D118" s="1174"/>
      <c r="E118" s="1184"/>
      <c r="F118" s="1881"/>
      <c r="G118" s="1882"/>
      <c r="H118" s="2094" t="s">
        <v>111</v>
      </c>
      <c r="I118" s="2095"/>
      <c r="J118" s="2096"/>
      <c r="K118" s="2097"/>
      <c r="L118" s="2086"/>
      <c r="M118" s="1947"/>
      <c r="N118" s="1191"/>
      <c r="O118" s="1191"/>
      <c r="P118" s="1182" t="s">
        <v>409</v>
      </c>
      <c r="Q118" s="1191"/>
      <c r="R118" s="1191"/>
      <c r="S118" s="1191"/>
      <c r="T118" s="1191"/>
      <c r="U118" s="1191"/>
      <c r="V118" s="1191"/>
      <c r="W118" s="1191"/>
      <c r="X118" s="1191"/>
      <c r="Y118" s="1191"/>
      <c r="Z118" s="1191"/>
      <c r="AA118" s="1191"/>
      <c r="AB118" s="1191"/>
      <c r="AC118" s="1191"/>
      <c r="AD118" s="1191"/>
      <c r="AE118" s="1198"/>
      <c r="AF118" s="2085"/>
      <c r="AG118" s="2086"/>
      <c r="AH118" s="2086"/>
      <c r="AI118" s="2085"/>
      <c r="AJ118" s="2086"/>
      <c r="AK118" s="2086"/>
      <c r="AL118" s="1187"/>
      <c r="AM118" s="1874"/>
      <c r="AN118" s="1874"/>
      <c r="AO118" s="1874"/>
      <c r="AP118" s="1874"/>
      <c r="AQ118" s="1874"/>
      <c r="AR118" s="1874"/>
      <c r="AS118" s="1874"/>
      <c r="AT118" s="1874"/>
      <c r="AU118" s="1874"/>
      <c r="AV118" s="1874"/>
      <c r="AW118" s="1874"/>
      <c r="AX118" s="1874"/>
      <c r="AY118" s="1874"/>
      <c r="AZ118" s="1874"/>
      <c r="BA118" s="1874"/>
      <c r="BB118" s="1874"/>
      <c r="BC118" s="1874"/>
      <c r="BD118" s="1874"/>
      <c r="BE118" s="1874"/>
      <c r="BF118" s="1874"/>
    </row>
    <row customHeight="1" ht="11.25">
      <c r="A119" s="1180" t="s">
        <v>1962</v>
      </c>
      <c r="B119" s="1180"/>
      <c r="C119" s="1180"/>
      <c r="D119" s="1174"/>
      <c r="E119" s="1184"/>
      <c r="F119" s="1881"/>
      <c r="G119" s="4144" t="s">
        <v>121</v>
      </c>
      <c r="H119" s="2094" t="s">
        <v>93</v>
      </c>
      <c r="I119" s="2095"/>
      <c r="J119" s="2096"/>
      <c r="K119" s="2097" t="s">
        <v>1995</v>
      </c>
      <c r="L119" s="2086" t="s">
        <v>56</v>
      </c>
      <c r="M119" s="1947"/>
      <c r="N119" s="1193"/>
      <c r="O119" s="1192" t="s">
        <v>371</v>
      </c>
      <c r="P119" s="1193"/>
      <c r="Q119" s="1193"/>
      <c r="R119" s="1193"/>
      <c r="S119" s="1193"/>
      <c r="T119" s="1193"/>
      <c r="U119" s="1193"/>
      <c r="V119" s="1193"/>
      <c r="W119" s="1193"/>
      <c r="X119" s="1193"/>
      <c r="Y119" s="1193"/>
      <c r="Z119" s="1193"/>
      <c r="AA119" s="1193"/>
      <c r="AB119" s="1193"/>
      <c r="AC119" s="1193"/>
      <c r="AD119" s="1193"/>
      <c r="AE119" s="1193"/>
      <c r="AF119" s="2085">
        <v>2023</v>
      </c>
      <c r="AG119" s="2086" t="s">
        <v>835</v>
      </c>
      <c r="AH119" s="2086" t="s">
        <v>1996</v>
      </c>
      <c r="AI119" s="2085">
        <v>2023</v>
      </c>
      <c r="AJ119" s="2086" t="s">
        <v>835</v>
      </c>
      <c r="AK119" s="2086" t="s">
        <v>1996</v>
      </c>
      <c r="AL119" s="1187"/>
      <c r="AM119" s="1874"/>
      <c r="AN119" s="1874"/>
      <c r="AO119" s="1874"/>
      <c r="AP119" s="1874"/>
      <c r="AQ119" s="1874"/>
      <c r="AR119" s="1874"/>
      <c r="AS119" s="1874"/>
      <c r="AT119" s="1874"/>
      <c r="AU119" s="1874"/>
      <c r="AV119" s="1874"/>
      <c r="AW119" s="1874"/>
      <c r="AX119" s="1874"/>
      <c r="AY119" s="1874"/>
      <c r="AZ119" s="1874"/>
      <c r="BA119" s="1874"/>
      <c r="BB119" s="1874"/>
      <c r="BC119" s="1874"/>
      <c r="BD119" s="1874"/>
      <c r="BE119" s="1874"/>
      <c r="BF119" s="1874"/>
    </row>
    <row customHeight="1" ht="11.25">
      <c r="A120" s="1180" t="s">
        <v>1962</v>
      </c>
      <c r="B120" s="1180"/>
      <c r="C120" s="1180"/>
      <c r="D120" s="1174"/>
      <c r="E120" s="1184"/>
      <c r="F120" s="1881"/>
      <c r="G120" s="1882"/>
      <c r="H120" s="2094" t="s">
        <v>92</v>
      </c>
      <c r="I120" s="2095"/>
      <c r="J120" s="2096"/>
      <c r="K120" s="2097"/>
      <c r="L120" s="2086"/>
      <c r="M120" s="1947"/>
      <c r="N120" s="2087"/>
      <c r="O120" s="2088">
        <v>1</v>
      </c>
      <c r="P120" s="2089" t="s">
        <v>56</v>
      </c>
      <c r="Q120" s="2092" t="s">
        <v>18</v>
      </c>
      <c r="R120" s="2092" t="s">
        <v>18</v>
      </c>
      <c r="S120" s="2092" t="s">
        <v>18</v>
      </c>
      <c r="T120" s="2092" t="s">
        <v>18</v>
      </c>
      <c r="U120" s="2092" t="s">
        <v>18</v>
      </c>
      <c r="V120" s="2092" t="s">
        <v>18</v>
      </c>
      <c r="W120" s="2092" t="s">
        <v>18</v>
      </c>
      <c r="X120" s="2092" t="s">
        <v>18</v>
      </c>
      <c r="Y120" s="2092"/>
      <c r="Z120" s="1190"/>
      <c r="AA120" s="1191"/>
      <c r="AB120" s="1191"/>
      <c r="AC120" s="1195"/>
      <c r="AD120" s="1195"/>
      <c r="AE120" s="1196"/>
      <c r="AF120" s="2085"/>
      <c r="AG120" s="2086"/>
      <c r="AH120" s="2086"/>
      <c r="AI120" s="2085"/>
      <c r="AJ120" s="2086"/>
      <c r="AK120" s="2086"/>
      <c r="AL120" s="1187"/>
      <c r="AM120" s="1874"/>
      <c r="AN120" s="1874"/>
      <c r="AO120" s="1874"/>
      <c r="AP120" s="1874"/>
      <c r="AQ120" s="1874"/>
      <c r="AR120" s="1874"/>
      <c r="AS120" s="1874"/>
      <c r="AT120" s="1874"/>
      <c r="AU120" s="1874"/>
      <c r="AV120" s="1874"/>
      <c r="AW120" s="1874"/>
      <c r="AX120" s="1874"/>
      <c r="AY120" s="1874"/>
      <c r="AZ120" s="1874"/>
      <c r="BA120" s="1874"/>
      <c r="BB120" s="1874"/>
      <c r="BC120" s="1874"/>
      <c r="BD120" s="1874"/>
      <c r="BE120" s="1874"/>
      <c r="BF120" s="1874"/>
    </row>
    <row customHeight="1" ht="11.25">
      <c r="A121" s="1180" t="s">
        <v>1962</v>
      </c>
      <c r="B121" s="1180"/>
      <c r="C121" s="1180"/>
      <c r="D121" s="1174"/>
      <c r="E121" s="1184"/>
      <c r="F121" s="1881"/>
      <c r="G121" s="1882"/>
      <c r="H121" s="2094" t="s">
        <v>92</v>
      </c>
      <c r="I121" s="2095"/>
      <c r="J121" s="2096"/>
      <c r="K121" s="2097"/>
      <c r="L121" s="2086"/>
      <c r="M121" s="1947"/>
      <c r="N121" s="2087"/>
      <c r="O121" s="2088"/>
      <c r="P121" s="2090"/>
      <c r="Q121" s="2092"/>
      <c r="R121" s="2092"/>
      <c r="S121" s="2093"/>
      <c r="T121" s="2092"/>
      <c r="U121" s="2092"/>
      <c r="V121" s="2092"/>
      <c r="W121" s="2092"/>
      <c r="X121" s="2092"/>
      <c r="Y121" s="2092"/>
      <c r="Z121" s="1880"/>
      <c r="AA121" s="1845">
        <v>1</v>
      </c>
      <c r="AB121" s="1194" t="s">
        <v>804</v>
      </c>
      <c r="AC121" s="1183">
        <v>3292.01</v>
      </c>
      <c r="AD121" s="1194" t="str">
        <f>AB121</f>
        <v>     Прочие амортизационные отчисления</v>
      </c>
      <c r="AE121" s="1183">
        <v>4046.64</v>
      </c>
      <c r="AF121" s="2085"/>
      <c r="AG121" s="2086"/>
      <c r="AH121" s="2086"/>
      <c r="AI121" s="2085"/>
      <c r="AJ121" s="2086"/>
      <c r="AK121" s="2086"/>
      <c r="AL121" s="1187"/>
      <c r="AM121" s="1874"/>
      <c r="AN121" s="1874"/>
      <c r="AO121" s="1874"/>
      <c r="AP121" s="1874"/>
      <c r="AQ121" s="1874"/>
      <c r="AR121" s="1874"/>
      <c r="AS121" s="1874"/>
      <c r="AT121" s="1874"/>
      <c r="AU121" s="1874"/>
      <c r="AV121" s="1874"/>
      <c r="AW121" s="1874"/>
      <c r="AX121" s="1874"/>
      <c r="AY121" s="1874"/>
      <c r="AZ121" s="1874"/>
      <c r="BA121" s="1874"/>
      <c r="BB121" s="1874"/>
      <c r="BC121" s="1874"/>
      <c r="BD121" s="1874"/>
      <c r="BE121" s="1874"/>
      <c r="BF121" s="1874"/>
    </row>
    <row customHeight="1" ht="11.25">
      <c r="A122" s="1180" t="s">
        <v>1962</v>
      </c>
      <c r="B122" s="1180"/>
      <c r="C122" s="1180"/>
      <c r="D122" s="1174"/>
      <c r="E122" s="1184"/>
      <c r="F122" s="1881"/>
      <c r="G122" s="1882"/>
      <c r="H122" s="2094" t="s">
        <v>92</v>
      </c>
      <c r="I122" s="2095"/>
      <c r="J122" s="2096"/>
      <c r="K122" s="2097"/>
      <c r="L122" s="2086"/>
      <c r="M122" s="1947"/>
      <c r="N122" s="2087"/>
      <c r="O122" s="2088"/>
      <c r="P122" s="2091"/>
      <c r="Q122" s="2092"/>
      <c r="R122" s="2092"/>
      <c r="S122" s="2093"/>
      <c r="T122" s="2092"/>
      <c r="U122" s="2092"/>
      <c r="V122" s="2092"/>
      <c r="W122" s="2092"/>
      <c r="X122" s="2092"/>
      <c r="Y122" s="2092"/>
      <c r="Z122" s="1190"/>
      <c r="AA122" s="1191"/>
      <c r="AB122" s="1265" t="s">
        <v>408</v>
      </c>
      <c r="AC122" s="1195"/>
      <c r="AD122" s="1195"/>
      <c r="AE122" s="1197"/>
      <c r="AF122" s="2085"/>
      <c r="AG122" s="2086"/>
      <c r="AH122" s="2086"/>
      <c r="AI122" s="2085"/>
      <c r="AJ122" s="2086"/>
      <c r="AK122" s="2086"/>
      <c r="AL122" s="1187"/>
      <c r="AM122" s="1874"/>
      <c r="AN122" s="1874"/>
      <c r="AO122" s="1874"/>
      <c r="AP122" s="1874"/>
      <c r="AQ122" s="1874"/>
      <c r="AR122" s="1874"/>
      <c r="AS122" s="1874"/>
      <c r="AT122" s="1874"/>
      <c r="AU122" s="1874"/>
      <c r="AV122" s="1874"/>
      <c r="AW122" s="1874"/>
      <c r="AX122" s="1874"/>
      <c r="AY122" s="1874"/>
      <c r="AZ122" s="1874"/>
      <c r="BA122" s="1874"/>
      <c r="BB122" s="1874"/>
      <c r="BC122" s="1874"/>
      <c r="BD122" s="1874"/>
      <c r="BE122" s="1874"/>
      <c r="BF122" s="1874"/>
    </row>
    <row customHeight="1" ht="11.25">
      <c r="A123" s="1180" t="s">
        <v>1962</v>
      </c>
      <c r="B123" s="1180"/>
      <c r="C123" s="1180"/>
      <c r="D123" s="1174"/>
      <c r="E123" s="1184"/>
      <c r="F123" s="1881"/>
      <c r="G123" s="1882"/>
      <c r="H123" s="2094" t="s">
        <v>92</v>
      </c>
      <c r="I123" s="2095"/>
      <c r="J123" s="2096"/>
      <c r="K123" s="2097"/>
      <c r="L123" s="2086"/>
      <c r="M123" s="1947"/>
      <c r="N123" s="1191"/>
      <c r="O123" s="1191"/>
      <c r="P123" s="1182" t="s">
        <v>409</v>
      </c>
      <c r="Q123" s="1191"/>
      <c r="R123" s="1191"/>
      <c r="S123" s="1191"/>
      <c r="T123" s="1191"/>
      <c r="U123" s="1191"/>
      <c r="V123" s="1191"/>
      <c r="W123" s="1191"/>
      <c r="X123" s="1191"/>
      <c r="Y123" s="1191"/>
      <c r="Z123" s="1191"/>
      <c r="AA123" s="1191"/>
      <c r="AB123" s="1191"/>
      <c r="AC123" s="1191"/>
      <c r="AD123" s="1191"/>
      <c r="AE123" s="1198"/>
      <c r="AF123" s="2085"/>
      <c r="AG123" s="2086"/>
      <c r="AH123" s="2086"/>
      <c r="AI123" s="2085"/>
      <c r="AJ123" s="2086"/>
      <c r="AK123" s="2086"/>
      <c r="AL123" s="1187"/>
      <c r="AM123" s="1874"/>
      <c r="AN123" s="1874"/>
      <c r="AO123" s="1874"/>
      <c r="AP123" s="1874"/>
      <c r="AQ123" s="1874"/>
      <c r="AR123" s="1874"/>
      <c r="AS123" s="1874"/>
      <c r="AT123" s="1874"/>
      <c r="AU123" s="1874"/>
      <c r="AV123" s="1874"/>
      <c r="AW123" s="1874"/>
      <c r="AX123" s="1874"/>
      <c r="AY123" s="1874"/>
      <c r="AZ123" s="1874"/>
      <c r="BA123" s="1874"/>
      <c r="BB123" s="1874"/>
      <c r="BC123" s="1874"/>
      <c r="BD123" s="1874"/>
      <c r="BE123" s="1874"/>
      <c r="BF123" s="1874"/>
    </row>
    <row customHeight="1" ht="12">
      <c r="A124" s="1180" t="s">
        <v>1962</v>
      </c>
      <c r="B124" s="1180"/>
      <c r="C124" s="1180"/>
      <c r="D124" s="1174"/>
      <c r="E124" s="1184"/>
      <c r="F124" s="2115"/>
      <c r="G124" s="1206"/>
      <c r="H124" s="1206"/>
      <c r="I124" s="2113" t="s">
        <v>410</v>
      </c>
      <c r="J124" s="2113"/>
      <c r="K124" s="2113"/>
      <c r="L124" s="1188"/>
      <c r="M124" s="1188"/>
      <c r="N124" s="1189"/>
      <c r="O124" s="1189"/>
      <c r="P124" s="1189"/>
      <c r="Q124" s="1189"/>
      <c r="R124" s="1189"/>
      <c r="S124" s="1189"/>
      <c r="T124" s="1189"/>
      <c r="U124" s="1189"/>
      <c r="V124" s="1189"/>
      <c r="W124" s="1189"/>
      <c r="X124" s="1189"/>
      <c r="Y124" s="1189"/>
      <c r="Z124" s="1189"/>
      <c r="AA124" s="1189"/>
      <c r="AB124" s="1189"/>
      <c r="AC124" s="1189"/>
      <c r="AD124" s="1189"/>
      <c r="AE124" s="1189"/>
      <c r="AF124" s="1189"/>
      <c r="AG124" s="1188"/>
      <c r="AH124" s="1188"/>
      <c r="AI124" s="1189"/>
      <c r="AJ124" s="1188"/>
      <c r="AK124" s="1199"/>
      <c r="AL124" s="1187"/>
      <c r="AM124" s="1874"/>
      <c r="AN124" s="1874"/>
      <c r="AO124" s="1874"/>
      <c r="AP124" s="1874"/>
      <c r="AQ124" s="1874"/>
      <c r="AR124" s="1874"/>
      <c r="AS124" s="1874"/>
      <c r="AT124" s="1874"/>
      <c r="AU124" s="1874"/>
      <c r="AV124" s="1874"/>
      <c r="AW124" s="1874"/>
      <c r="AX124" s="1874"/>
      <c r="AY124" s="1874"/>
      <c r="AZ124" s="1874"/>
      <c r="BA124" s="1874"/>
      <c r="BB124" s="1874"/>
      <c r="BC124" s="1874"/>
      <c r="BD124" s="1874"/>
      <c r="BE124" s="1874"/>
      <c r="BF124" s="1874"/>
    </row>
    <row customHeight="1" ht="10.5">
      <c r="E125" s="919"/>
      <c r="F125" s="930"/>
      <c r="G125" s="930"/>
      <c r="H125" s="1187"/>
      <c r="I125" s="930"/>
      <c r="J125" s="930"/>
      <c r="K125" s="930"/>
      <c r="L125" s="1145"/>
      <c r="M125" s="1145"/>
      <c r="N125" s="930"/>
      <c r="O125" s="930"/>
      <c r="P125" s="930"/>
      <c r="Q125" s="930"/>
      <c r="R125" s="930"/>
      <c r="S125" s="930"/>
      <c r="T125" s="930"/>
      <c r="U125" s="930"/>
      <c r="V125" s="930"/>
      <c r="W125" s="930"/>
      <c r="X125" s="930"/>
      <c r="Y125" s="930"/>
      <c r="Z125" s="930"/>
      <c r="AA125" s="930"/>
      <c r="AB125" s="930"/>
      <c r="AC125" s="930"/>
      <c r="AD125" s="1145"/>
      <c r="AE125" s="930"/>
      <c r="AF125" s="930"/>
      <c r="AG125" s="930"/>
      <c r="AH125" s="1163"/>
      <c r="AI125" s="1156"/>
      <c r="AJ125" s="930"/>
      <c r="AK125" s="930"/>
      <c r="AL125" s="919"/>
      <c r="AM125" s="919"/>
      <c r="AN125" s="919"/>
      <c r="AO125" s="919"/>
      <c r="AP125" s="919"/>
      <c r="AQ125" s="919"/>
      <c r="AR125" s="919"/>
      <c r="AS125" s="919"/>
      <c r="AT125" s="919"/>
      <c r="AU125" s="919"/>
      <c r="AV125" s="919"/>
      <c r="AW125" s="919"/>
      <c r="AX125" s="919"/>
      <c r="AY125" s="919"/>
      <c r="AZ125" s="919"/>
      <c r="BA125" s="919"/>
      <c r="BB125" s="919"/>
      <c r="BC125" s="919"/>
      <c r="BD125" s="919"/>
      <c r="BE125" s="919"/>
      <c r="BF125" s="919"/>
    </row>
    <row customHeight="1" ht="12.75">
      <c r="E126" s="919"/>
      <c r="F126" s="926" t="s">
        <v>2004</v>
      </c>
      <c r="G126" s="926"/>
      <c r="H126" s="1186"/>
      <c r="I126" s="926"/>
      <c r="J126" s="926"/>
      <c r="K126" s="923"/>
      <c r="L126" s="1141"/>
      <c r="M126" s="1141"/>
      <c r="N126" s="925"/>
      <c r="O126" s="925"/>
      <c r="P126" s="925"/>
      <c r="Q126" s="925"/>
      <c r="R126" s="925"/>
      <c r="S126" s="925"/>
      <c r="T126" s="925"/>
      <c r="U126" s="925"/>
      <c r="V126" s="925"/>
      <c r="W126" s="925"/>
      <c r="X126" s="925"/>
      <c r="Y126" s="925"/>
      <c r="Z126" s="923"/>
      <c r="AA126" s="923"/>
      <c r="AB126" s="923"/>
      <c r="AC126" s="923"/>
      <c r="AD126" s="1141"/>
      <c r="AE126" s="923"/>
      <c r="AF126" s="923"/>
      <c r="AG126" s="923"/>
      <c r="AH126" s="1160"/>
      <c r="AI126" s="1153"/>
      <c r="AJ126" s="923"/>
      <c r="AK126" s="923"/>
      <c r="AL126" s="919"/>
      <c r="AM126" s="919"/>
      <c r="AN126" s="919"/>
      <c r="AO126" s="919"/>
      <c r="AP126" s="919"/>
      <c r="AQ126" s="919"/>
      <c r="AR126" s="919"/>
      <c r="AS126" s="919"/>
      <c r="AT126" s="919"/>
      <c r="AU126" s="919"/>
      <c r="AV126" s="919"/>
      <c r="AW126" s="919"/>
      <c r="AX126" s="919"/>
      <c r="AY126" s="919"/>
      <c r="AZ126" s="919"/>
      <c r="BA126" s="919"/>
      <c r="BB126" s="919"/>
      <c r="BC126" s="919"/>
      <c r="BD126" s="919"/>
      <c r="BE126" s="919"/>
      <c r="BF126" s="919"/>
    </row>
    <row r="128" customHeight="1" ht="10.5">
      <c r="E128" s="919"/>
      <c r="F128" s="2355"/>
      <c r="G128" s="2355"/>
      <c r="H128" s="2355"/>
      <c r="I128" s="2355"/>
      <c r="J128" s="2355"/>
      <c r="K128" s="923"/>
      <c r="L128" s="1141"/>
      <c r="M128" s="1141"/>
      <c r="N128" s="925"/>
      <c r="O128" s="925"/>
      <c r="P128" s="925"/>
      <c r="Q128" s="925"/>
      <c r="R128" s="925"/>
      <c r="S128" s="925"/>
      <c r="T128" s="925"/>
      <c r="U128" s="925"/>
      <c r="V128" s="925"/>
      <c r="W128" s="925"/>
      <c r="X128" s="925"/>
      <c r="Y128" s="925"/>
      <c r="Z128" s="923"/>
      <c r="AA128" s="923"/>
      <c r="AB128" s="923"/>
      <c r="AC128" s="923"/>
      <c r="AD128" s="1141"/>
      <c r="AE128" s="923"/>
      <c r="AF128" s="923"/>
      <c r="AG128" s="923"/>
      <c r="AH128" s="1160"/>
      <c r="AI128" s="1153"/>
      <c r="AJ128" s="923"/>
      <c r="AK128" s="923"/>
      <c r="AL128" s="919"/>
      <c r="AM128" s="919"/>
      <c r="AN128" s="919"/>
      <c r="AO128" s="919"/>
      <c r="AP128" s="919"/>
      <c r="AQ128" s="919"/>
      <c r="AR128" s="919"/>
      <c r="AS128" s="919"/>
      <c r="AT128" s="919"/>
      <c r="AU128" s="919"/>
      <c r="AV128" s="919"/>
      <c r="AW128" s="919"/>
      <c r="AX128" s="919"/>
      <c r="AY128" s="919"/>
      <c r="AZ128" s="919"/>
      <c r="BA128" s="919"/>
      <c r="BB128" s="919"/>
      <c r="BC128" s="919"/>
      <c r="BD128" s="919"/>
      <c r="BE128" s="919"/>
      <c r="BF128" s="919"/>
    </row>
    <row customHeight="1" ht="10.5">
      <c r="E129" s="919"/>
      <c r="F129" s="2355"/>
      <c r="G129" s="2355"/>
      <c r="H129" s="2355"/>
      <c r="I129" s="2355"/>
      <c r="J129" s="2355"/>
      <c r="K129" s="923"/>
      <c r="L129" s="1141"/>
      <c r="M129" s="1141"/>
      <c r="N129" s="925"/>
      <c r="O129" s="925"/>
      <c r="P129" s="925"/>
      <c r="Q129" s="925"/>
      <c r="R129" s="925"/>
      <c r="S129" s="925"/>
      <c r="T129" s="925"/>
      <c r="U129" s="925"/>
      <c r="V129" s="925"/>
      <c r="W129" s="925"/>
      <c r="X129" s="925"/>
      <c r="Y129" s="925"/>
      <c r="Z129" s="923"/>
      <c r="AA129" s="923"/>
      <c r="AB129" s="923"/>
      <c r="AC129" s="923"/>
      <c r="AD129" s="1141"/>
      <c r="AE129" s="923"/>
      <c r="AF129" s="923"/>
      <c r="AG129" s="923"/>
      <c r="AH129" s="1160"/>
      <c r="AI129" s="1153"/>
      <c r="AJ129" s="923"/>
      <c r="AK129" s="923"/>
      <c r="AL129" s="919"/>
      <c r="AM129" s="919"/>
      <c r="AN129" s="919"/>
      <c r="AO129" s="919"/>
      <c r="AP129" s="919"/>
      <c r="AQ129" s="919"/>
      <c r="AR129" s="919"/>
      <c r="AS129" s="919"/>
      <c r="AT129" s="919"/>
      <c r="AU129" s="919"/>
      <c r="AV129" s="919"/>
      <c r="AW129" s="919"/>
      <c r="AX129" s="919"/>
      <c r="AY129" s="919"/>
      <c r="AZ129" s="919"/>
      <c r="BA129" s="919"/>
      <c r="BB129" s="919"/>
      <c r="BC129" s="919"/>
      <c r="BD129" s="919"/>
      <c r="BE129" s="919"/>
      <c r="BF129" s="919"/>
    </row>
    <row customHeight="1" ht="10.5">
      <c r="E130" s="919"/>
      <c r="F130" s="2355"/>
      <c r="G130" s="2355"/>
      <c r="H130" s="2355"/>
      <c r="I130" s="2355"/>
      <c r="J130" s="2355"/>
      <c r="K130" s="923"/>
      <c r="L130" s="1141"/>
      <c r="M130" s="1141"/>
      <c r="N130" s="925"/>
      <c r="O130" s="925"/>
      <c r="P130" s="925"/>
      <c r="Q130" s="925"/>
      <c r="R130" s="925"/>
      <c r="S130" s="925"/>
      <c r="T130" s="925"/>
      <c r="U130" s="925"/>
      <c r="V130" s="925"/>
      <c r="W130" s="925"/>
      <c r="X130" s="925"/>
      <c r="Y130" s="925"/>
      <c r="Z130" s="923"/>
      <c r="AA130" s="923"/>
      <c r="AB130" s="923"/>
      <c r="AC130" s="923"/>
      <c r="AD130" s="1141"/>
      <c r="AE130" s="923"/>
      <c r="AF130" s="923"/>
      <c r="AG130" s="923"/>
      <c r="AH130" s="1160"/>
      <c r="AI130" s="1153"/>
      <c r="AJ130" s="923"/>
      <c r="AK130" s="923"/>
      <c r="AL130" s="919"/>
      <c r="AM130" s="919"/>
      <c r="AN130" s="919"/>
      <c r="AO130" s="919"/>
      <c r="AP130" s="919"/>
      <c r="AQ130" s="919"/>
      <c r="AR130" s="919"/>
      <c r="AS130" s="919"/>
      <c r="AT130" s="919"/>
      <c r="AU130" s="919"/>
      <c r="AV130" s="919"/>
      <c r="AW130" s="919"/>
      <c r="AX130" s="919"/>
      <c r="AY130" s="919"/>
      <c r="AZ130" s="919"/>
      <c r="BA130" s="919"/>
      <c r="BB130" s="919"/>
      <c r="BC130" s="919"/>
      <c r="BD130" s="919"/>
      <c r="BE130" s="919"/>
      <c r="BF130" s="919"/>
    </row>
  </sheetData>
  <sheetProtection formatColumns="0" formatRows="0" autoFilter="0" sort="0" insertRows="0" insertColumns="1" deleteRows="0" deleteColumns="0"/>
  <mergeCells count="538">
    <mergeCell ref="AB9:AE10"/>
    <mergeCell ref="S11:Y11"/>
    <mergeCell ref="N10:Y10"/>
    <mergeCell ref="K9:Y9"/>
    <mergeCell ref="N11:O12"/>
    <mergeCell ref="P11:P12"/>
    <mergeCell ref="Q11:Q12"/>
    <mergeCell ref="F130:J130"/>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29:J129"/>
    <mergeCell ref="F128:J128"/>
    <mergeCell ref="F5:K5"/>
    <mergeCell ref="G15:G20"/>
    <mergeCell ref="P16:P19"/>
    <mergeCell ref="Q16:Q19"/>
    <mergeCell ref="R16:R19"/>
    <mergeCell ref="AJ15:AJ20"/>
    <mergeCell ref="AK15:AK20"/>
    <mergeCell ref="I33:K33"/>
    <mergeCell ref="F15:F33"/>
    <mergeCell ref="AF15:AF20"/>
    <mergeCell ref="AG15:AG20"/>
    <mergeCell ref="AH15:AH20"/>
    <mergeCell ref="AI15:AI20"/>
    <mergeCell ref="S16:S19"/>
    <mergeCell ref="T16:T19"/>
    <mergeCell ref="U16:U19"/>
    <mergeCell ref="V16:V19"/>
    <mergeCell ref="W16:W19"/>
    <mergeCell ref="X16:X19"/>
    <mergeCell ref="Y16:Y19"/>
    <mergeCell ref="H15:H20"/>
    <mergeCell ref="I15:I20"/>
    <mergeCell ref="J15:J20"/>
    <mergeCell ref="K15:K20"/>
    <mergeCell ref="L15:L20"/>
    <mergeCell ref="M15:M20"/>
    <mergeCell ref="N16:N19"/>
    <mergeCell ref="O16:O19"/>
    <mergeCell ref="G34:G38"/>
    <mergeCell ref="P35:P37"/>
    <mergeCell ref="Q35:Q37"/>
    <mergeCell ref="R35:R37"/>
    <mergeCell ref="AJ34:AJ38"/>
    <mergeCell ref="AK34:AK38"/>
    <mergeCell ref="I51:K51"/>
    <mergeCell ref="F34:F51"/>
    <mergeCell ref="AF34:AF38"/>
    <mergeCell ref="AG34:AG38"/>
    <mergeCell ref="AH34:AH38"/>
    <mergeCell ref="AI34:AI38"/>
    <mergeCell ref="S35:S37"/>
    <mergeCell ref="T35:T37"/>
    <mergeCell ref="U35:U37"/>
    <mergeCell ref="V35:V37"/>
    <mergeCell ref="W35:W37"/>
    <mergeCell ref="X35:X37"/>
    <mergeCell ref="Y35:Y37"/>
    <mergeCell ref="H34:H38"/>
    <mergeCell ref="I34:I38"/>
    <mergeCell ref="J34:J38"/>
    <mergeCell ref="K34:K38"/>
    <mergeCell ref="L34:L38"/>
    <mergeCell ref="M34:M38"/>
    <mergeCell ref="N35:N37"/>
    <mergeCell ref="O35:O37"/>
    <mergeCell ref="G52:G56"/>
    <mergeCell ref="P53:P55"/>
    <mergeCell ref="Q53:Q55"/>
    <mergeCell ref="R53:R55"/>
    <mergeCell ref="AJ52:AJ56"/>
    <mergeCell ref="AK52:AK56"/>
    <mergeCell ref="I67:K67"/>
    <mergeCell ref="F52:F67"/>
    <mergeCell ref="AF52:AF56"/>
    <mergeCell ref="AG52:AG56"/>
    <mergeCell ref="AH52:AH56"/>
    <mergeCell ref="AI52:AI56"/>
    <mergeCell ref="S53:S55"/>
    <mergeCell ref="T53:T55"/>
    <mergeCell ref="U53:U55"/>
    <mergeCell ref="V53:V55"/>
    <mergeCell ref="W53:W55"/>
    <mergeCell ref="X53:X55"/>
    <mergeCell ref="Y53:Y55"/>
    <mergeCell ref="H52:H56"/>
    <mergeCell ref="I52:I56"/>
    <mergeCell ref="J52:J56"/>
    <mergeCell ref="K52:K56"/>
    <mergeCell ref="L52:L56"/>
    <mergeCell ref="M52:M56"/>
    <mergeCell ref="N53:N55"/>
    <mergeCell ref="O53:O55"/>
    <mergeCell ref="G68:G72"/>
    <mergeCell ref="P69:P71"/>
    <mergeCell ref="Q69:Q71"/>
    <mergeCell ref="R69:R71"/>
    <mergeCell ref="AJ68:AJ72"/>
    <mergeCell ref="AK68:AK72"/>
    <mergeCell ref="I88:K88"/>
    <mergeCell ref="F68:F88"/>
    <mergeCell ref="AF68:AF72"/>
    <mergeCell ref="AG68:AG72"/>
    <mergeCell ref="AH68:AH72"/>
    <mergeCell ref="AI68:AI72"/>
    <mergeCell ref="S69:S71"/>
    <mergeCell ref="T69:T71"/>
    <mergeCell ref="U69:U71"/>
    <mergeCell ref="V69:V71"/>
    <mergeCell ref="W69:W71"/>
    <mergeCell ref="X69:X71"/>
    <mergeCell ref="Y69:Y71"/>
    <mergeCell ref="H68:H72"/>
    <mergeCell ref="I68:I72"/>
    <mergeCell ref="J68:J72"/>
    <mergeCell ref="K68:K72"/>
    <mergeCell ref="L68:L72"/>
    <mergeCell ref="M68:M72"/>
    <mergeCell ref="N69:N71"/>
    <mergeCell ref="O69:O71"/>
    <mergeCell ref="G89:G93"/>
    <mergeCell ref="P90:P92"/>
    <mergeCell ref="Q90:Q92"/>
    <mergeCell ref="R90:R92"/>
    <mergeCell ref="AJ89:AJ93"/>
    <mergeCell ref="AK89:AK93"/>
    <mergeCell ref="I124:K124"/>
    <mergeCell ref="F89:F124"/>
    <mergeCell ref="AF89:AF93"/>
    <mergeCell ref="AG89:AG93"/>
    <mergeCell ref="AH89:AH93"/>
    <mergeCell ref="AI89:AI93"/>
    <mergeCell ref="S90:S92"/>
    <mergeCell ref="T90:T92"/>
    <mergeCell ref="U90:U92"/>
    <mergeCell ref="V90:V92"/>
    <mergeCell ref="W90:W92"/>
    <mergeCell ref="X90:X92"/>
    <mergeCell ref="Y90:Y92"/>
    <mergeCell ref="H89:H93"/>
    <mergeCell ref="I89:I93"/>
    <mergeCell ref="J89:J93"/>
    <mergeCell ref="K89:K93"/>
    <mergeCell ref="L89:L93"/>
    <mergeCell ref="M89:M93"/>
    <mergeCell ref="N90:N92"/>
    <mergeCell ref="O90:O92"/>
    <mergeCell ref="H21:H26"/>
    <mergeCell ref="I21:I26"/>
    <mergeCell ref="J21:J26"/>
    <mergeCell ref="K21:K26"/>
    <mergeCell ref="L21:L26"/>
    <mergeCell ref="M21:M26"/>
    <mergeCell ref="AF21:AF26"/>
    <mergeCell ref="AG21:AG26"/>
    <mergeCell ref="AH21:AH26"/>
    <mergeCell ref="AI21:AI26"/>
    <mergeCell ref="AJ21:AJ26"/>
    <mergeCell ref="AK21:AK26"/>
    <mergeCell ref="N22:N25"/>
    <mergeCell ref="O22:O25"/>
    <mergeCell ref="P22:P25"/>
    <mergeCell ref="Q22:Q25"/>
    <mergeCell ref="R22:R25"/>
    <mergeCell ref="S22:S25"/>
    <mergeCell ref="T22:T25"/>
    <mergeCell ref="U22:U25"/>
    <mergeCell ref="V22:V25"/>
    <mergeCell ref="W22:W25"/>
    <mergeCell ref="X22:X25"/>
    <mergeCell ref="Y22:Y25"/>
    <mergeCell ref="G21:G26"/>
    <mergeCell ref="H39:H44"/>
    <mergeCell ref="I39:I44"/>
    <mergeCell ref="J39:J44"/>
    <mergeCell ref="K39:K44"/>
    <mergeCell ref="L39:L44"/>
    <mergeCell ref="M39:M44"/>
    <mergeCell ref="AF39:AF44"/>
    <mergeCell ref="AG39:AG44"/>
    <mergeCell ref="AH39:AH44"/>
    <mergeCell ref="AI39:AI44"/>
    <mergeCell ref="AJ39:AJ44"/>
    <mergeCell ref="AK39:AK44"/>
    <mergeCell ref="N40:N43"/>
    <mergeCell ref="O40:O43"/>
    <mergeCell ref="P40:P43"/>
    <mergeCell ref="Q40:Q43"/>
    <mergeCell ref="R40:R43"/>
    <mergeCell ref="S40:S43"/>
    <mergeCell ref="T40:T43"/>
    <mergeCell ref="U40:U43"/>
    <mergeCell ref="V40:V43"/>
    <mergeCell ref="W40:W43"/>
    <mergeCell ref="X40:X43"/>
    <mergeCell ref="Y40:Y43"/>
    <mergeCell ref="G39:G44"/>
    <mergeCell ref="H57:H61"/>
    <mergeCell ref="I57:I61"/>
    <mergeCell ref="J57:J61"/>
    <mergeCell ref="K57:K61"/>
    <mergeCell ref="L57:L61"/>
    <mergeCell ref="M57:M61"/>
    <mergeCell ref="AF57:AF61"/>
    <mergeCell ref="AG57:AG61"/>
    <mergeCell ref="AH57:AH61"/>
    <mergeCell ref="AI57:AI61"/>
    <mergeCell ref="AJ57:AJ61"/>
    <mergeCell ref="AK57:AK61"/>
    <mergeCell ref="N58:N60"/>
    <mergeCell ref="O58:O60"/>
    <mergeCell ref="P58:P60"/>
    <mergeCell ref="Q58:Q60"/>
    <mergeCell ref="R58:R60"/>
    <mergeCell ref="S58:S60"/>
    <mergeCell ref="T58:T60"/>
    <mergeCell ref="U58:U60"/>
    <mergeCell ref="V58:V60"/>
    <mergeCell ref="W58:W60"/>
    <mergeCell ref="X58:X60"/>
    <mergeCell ref="Y58:Y60"/>
    <mergeCell ref="G57:G61"/>
    <mergeCell ref="H73:H77"/>
    <mergeCell ref="I73:I77"/>
    <mergeCell ref="J73:J77"/>
    <mergeCell ref="K73:K77"/>
    <mergeCell ref="L73:L77"/>
    <mergeCell ref="M73:M77"/>
    <mergeCell ref="AF73:AF77"/>
    <mergeCell ref="AG73:AG77"/>
    <mergeCell ref="AH73:AH77"/>
    <mergeCell ref="AI73:AI77"/>
    <mergeCell ref="AJ73:AJ77"/>
    <mergeCell ref="AK73:AK77"/>
    <mergeCell ref="N74:N76"/>
    <mergeCell ref="O74:O76"/>
    <mergeCell ref="P74:P76"/>
    <mergeCell ref="Q74:Q76"/>
    <mergeCell ref="R74:R76"/>
    <mergeCell ref="S74:S76"/>
    <mergeCell ref="T74:T76"/>
    <mergeCell ref="U74:U76"/>
    <mergeCell ref="V74:V76"/>
    <mergeCell ref="W74:W76"/>
    <mergeCell ref="X74:X76"/>
    <mergeCell ref="Y74:Y76"/>
    <mergeCell ref="G73:G77"/>
    <mergeCell ref="H94:H98"/>
    <mergeCell ref="I94:I98"/>
    <mergeCell ref="J94:J98"/>
    <mergeCell ref="K94:K98"/>
    <mergeCell ref="L94:L98"/>
    <mergeCell ref="M94:M98"/>
    <mergeCell ref="AF94:AF98"/>
    <mergeCell ref="AG94:AG98"/>
    <mergeCell ref="AH94:AH98"/>
    <mergeCell ref="AI94:AI98"/>
    <mergeCell ref="AJ94:AJ98"/>
    <mergeCell ref="AK94:AK98"/>
    <mergeCell ref="N95:N97"/>
    <mergeCell ref="O95:O97"/>
    <mergeCell ref="P95:P97"/>
    <mergeCell ref="Q95:Q97"/>
    <mergeCell ref="R95:R97"/>
    <mergeCell ref="S95:S97"/>
    <mergeCell ref="T95:T97"/>
    <mergeCell ref="U95:U97"/>
    <mergeCell ref="V95:V97"/>
    <mergeCell ref="W95:W97"/>
    <mergeCell ref="X95:X97"/>
    <mergeCell ref="Y95:Y97"/>
    <mergeCell ref="G94:G98"/>
    <mergeCell ref="H78:H82"/>
    <mergeCell ref="I78:I82"/>
    <mergeCell ref="J78:J82"/>
    <mergeCell ref="K78:K82"/>
    <mergeCell ref="L78:L82"/>
    <mergeCell ref="M78:M82"/>
    <mergeCell ref="AF78:AF82"/>
    <mergeCell ref="AG78:AG82"/>
    <mergeCell ref="AH78:AH82"/>
    <mergeCell ref="AI78:AI82"/>
    <mergeCell ref="AJ78:AJ82"/>
    <mergeCell ref="AK78:AK82"/>
    <mergeCell ref="N79:N81"/>
    <mergeCell ref="O79:O81"/>
    <mergeCell ref="P79:P81"/>
    <mergeCell ref="Q79:Q81"/>
    <mergeCell ref="R79:R81"/>
    <mergeCell ref="S79:S81"/>
    <mergeCell ref="T79:T81"/>
    <mergeCell ref="U79:U81"/>
    <mergeCell ref="V79:V81"/>
    <mergeCell ref="W79:W81"/>
    <mergeCell ref="X79:X81"/>
    <mergeCell ref="Y79:Y81"/>
    <mergeCell ref="G78:G82"/>
    <mergeCell ref="H99:H103"/>
    <mergeCell ref="I99:I103"/>
    <mergeCell ref="J99:J103"/>
    <mergeCell ref="K99:K103"/>
    <mergeCell ref="L99:L103"/>
    <mergeCell ref="M99:M103"/>
    <mergeCell ref="AF99:AF103"/>
    <mergeCell ref="AG99:AG103"/>
    <mergeCell ref="AH99:AH103"/>
    <mergeCell ref="AI99:AI103"/>
    <mergeCell ref="AJ99:AJ103"/>
    <mergeCell ref="AK99:AK103"/>
    <mergeCell ref="N100:N102"/>
    <mergeCell ref="O100:O102"/>
    <mergeCell ref="P100:P102"/>
    <mergeCell ref="Q100:Q102"/>
    <mergeCell ref="R100:R102"/>
    <mergeCell ref="S100:S102"/>
    <mergeCell ref="T100:T102"/>
    <mergeCell ref="U100:U102"/>
    <mergeCell ref="V100:V102"/>
    <mergeCell ref="W100:W102"/>
    <mergeCell ref="X100:X102"/>
    <mergeCell ref="Y100:Y102"/>
    <mergeCell ref="G99:G103"/>
    <mergeCell ref="H27:H32"/>
    <mergeCell ref="I27:I32"/>
    <mergeCell ref="J27:J32"/>
    <mergeCell ref="K27:K32"/>
    <mergeCell ref="L27:L32"/>
    <mergeCell ref="M27:M32"/>
    <mergeCell ref="AF27:AF32"/>
    <mergeCell ref="AG27:AG32"/>
    <mergeCell ref="AH27:AH32"/>
    <mergeCell ref="AI27:AI32"/>
    <mergeCell ref="AJ27:AJ32"/>
    <mergeCell ref="AK27:AK32"/>
    <mergeCell ref="N28:N31"/>
    <mergeCell ref="O28:O31"/>
    <mergeCell ref="P28:P31"/>
    <mergeCell ref="Q28:Q31"/>
    <mergeCell ref="R28:R31"/>
    <mergeCell ref="S28:S31"/>
    <mergeCell ref="T28:T31"/>
    <mergeCell ref="U28:U31"/>
    <mergeCell ref="V28:V31"/>
    <mergeCell ref="W28:W31"/>
    <mergeCell ref="X28:X31"/>
    <mergeCell ref="Y28:Y31"/>
    <mergeCell ref="G27:G32"/>
    <mergeCell ref="H45:H50"/>
    <mergeCell ref="I45:I50"/>
    <mergeCell ref="J45:J50"/>
    <mergeCell ref="K45:K50"/>
    <mergeCell ref="L45:L50"/>
    <mergeCell ref="M45:M50"/>
    <mergeCell ref="AF45:AF50"/>
    <mergeCell ref="AG45:AG50"/>
    <mergeCell ref="AH45:AH50"/>
    <mergeCell ref="AI45:AI50"/>
    <mergeCell ref="AJ45:AJ50"/>
    <mergeCell ref="AK45:AK50"/>
    <mergeCell ref="N46:N49"/>
    <mergeCell ref="O46:O49"/>
    <mergeCell ref="P46:P49"/>
    <mergeCell ref="Q46:Q49"/>
    <mergeCell ref="R46:R49"/>
    <mergeCell ref="S46:S49"/>
    <mergeCell ref="T46:T49"/>
    <mergeCell ref="U46:U49"/>
    <mergeCell ref="V46:V49"/>
    <mergeCell ref="W46:W49"/>
    <mergeCell ref="X46:X49"/>
    <mergeCell ref="Y46:Y49"/>
    <mergeCell ref="G45:G50"/>
    <mergeCell ref="H62:H66"/>
    <mergeCell ref="I62:I66"/>
    <mergeCell ref="J62:J66"/>
    <mergeCell ref="K62:K66"/>
    <mergeCell ref="L62:L66"/>
    <mergeCell ref="M62:M66"/>
    <mergeCell ref="AF62:AF66"/>
    <mergeCell ref="AG62:AG66"/>
    <mergeCell ref="AH62:AH66"/>
    <mergeCell ref="AI62:AI66"/>
    <mergeCell ref="AJ62:AJ66"/>
    <mergeCell ref="AK62:AK66"/>
    <mergeCell ref="N63:N65"/>
    <mergeCell ref="O63:O65"/>
    <mergeCell ref="P63:P65"/>
    <mergeCell ref="Q63:Q65"/>
    <mergeCell ref="R63:R65"/>
    <mergeCell ref="S63:S65"/>
    <mergeCell ref="T63:T65"/>
    <mergeCell ref="U63:U65"/>
    <mergeCell ref="V63:V65"/>
    <mergeCell ref="W63:W65"/>
    <mergeCell ref="X63:X65"/>
    <mergeCell ref="Y63:Y65"/>
    <mergeCell ref="G62:G66"/>
    <mergeCell ref="H104:H108"/>
    <mergeCell ref="I104:I108"/>
    <mergeCell ref="J104:J108"/>
    <mergeCell ref="K104:K108"/>
    <mergeCell ref="L104:L108"/>
    <mergeCell ref="M104:M108"/>
    <mergeCell ref="AF104:AF108"/>
    <mergeCell ref="AG104:AG108"/>
    <mergeCell ref="AH104:AH108"/>
    <mergeCell ref="AI104:AI108"/>
    <mergeCell ref="AJ104:AJ108"/>
    <mergeCell ref="AK104:AK108"/>
    <mergeCell ref="N105:N107"/>
    <mergeCell ref="O105:O107"/>
    <mergeCell ref="P105:P107"/>
    <mergeCell ref="Q105:Q107"/>
    <mergeCell ref="R105:R107"/>
    <mergeCell ref="S105:S107"/>
    <mergeCell ref="T105:T107"/>
    <mergeCell ref="U105:U107"/>
    <mergeCell ref="V105:V107"/>
    <mergeCell ref="W105:W107"/>
    <mergeCell ref="X105:X107"/>
    <mergeCell ref="Y105:Y107"/>
    <mergeCell ref="G104:G108"/>
    <mergeCell ref="H109:H113"/>
    <mergeCell ref="I109:I113"/>
    <mergeCell ref="J109:J113"/>
    <mergeCell ref="K109:K113"/>
    <mergeCell ref="L109:L113"/>
    <mergeCell ref="M109:M113"/>
    <mergeCell ref="AF109:AF113"/>
    <mergeCell ref="AG109:AG113"/>
    <mergeCell ref="AH109:AH113"/>
    <mergeCell ref="AI109:AI113"/>
    <mergeCell ref="AJ109:AJ113"/>
    <mergeCell ref="AK109:AK113"/>
    <mergeCell ref="N110:N112"/>
    <mergeCell ref="O110:O112"/>
    <mergeCell ref="P110:P112"/>
    <mergeCell ref="Q110:Q112"/>
    <mergeCell ref="R110:R112"/>
    <mergeCell ref="S110:S112"/>
    <mergeCell ref="T110:T112"/>
    <mergeCell ref="U110:U112"/>
    <mergeCell ref="V110:V112"/>
    <mergeCell ref="W110:W112"/>
    <mergeCell ref="X110:X112"/>
    <mergeCell ref="Y110:Y112"/>
    <mergeCell ref="G109:G113"/>
    <mergeCell ref="H114:H118"/>
    <mergeCell ref="I114:I118"/>
    <mergeCell ref="J114:J118"/>
    <mergeCell ref="K114:K118"/>
    <mergeCell ref="L114:L118"/>
    <mergeCell ref="M114:M118"/>
    <mergeCell ref="AF114:AF118"/>
    <mergeCell ref="AG114:AG118"/>
    <mergeCell ref="AH114:AH118"/>
    <mergeCell ref="AI114:AI118"/>
    <mergeCell ref="AJ114:AJ118"/>
    <mergeCell ref="AK114:AK118"/>
    <mergeCell ref="N115:N117"/>
    <mergeCell ref="O115:O117"/>
    <mergeCell ref="P115:P117"/>
    <mergeCell ref="Q115:Q117"/>
    <mergeCell ref="R115:R117"/>
    <mergeCell ref="S115:S117"/>
    <mergeCell ref="T115:T117"/>
    <mergeCell ref="U115:U117"/>
    <mergeCell ref="V115:V117"/>
    <mergeCell ref="W115:W117"/>
    <mergeCell ref="X115:X117"/>
    <mergeCell ref="Y115:Y117"/>
    <mergeCell ref="G114:G118"/>
    <mergeCell ref="H119:H123"/>
    <mergeCell ref="I119:I123"/>
    <mergeCell ref="J119:J123"/>
    <mergeCell ref="K119:K123"/>
    <mergeCell ref="L119:L123"/>
    <mergeCell ref="M119:M123"/>
    <mergeCell ref="AF119:AF123"/>
    <mergeCell ref="AG119:AG123"/>
    <mergeCell ref="AH119:AH123"/>
    <mergeCell ref="AI119:AI123"/>
    <mergeCell ref="AJ119:AJ123"/>
    <mergeCell ref="AK119:AK123"/>
    <mergeCell ref="N120:N122"/>
    <mergeCell ref="O120:O122"/>
    <mergeCell ref="P120:P122"/>
    <mergeCell ref="Q120:Q122"/>
    <mergeCell ref="R120:R122"/>
    <mergeCell ref="S120:S122"/>
    <mergeCell ref="T120:T122"/>
    <mergeCell ref="U120:U122"/>
    <mergeCell ref="V120:V122"/>
    <mergeCell ref="W120:W122"/>
    <mergeCell ref="X120:X122"/>
    <mergeCell ref="Y120:Y122"/>
    <mergeCell ref="G119:G123"/>
    <mergeCell ref="H83:H87"/>
    <mergeCell ref="I83:I87"/>
    <mergeCell ref="J83:J87"/>
    <mergeCell ref="K83:K87"/>
    <mergeCell ref="L83:L87"/>
    <mergeCell ref="M83:M87"/>
    <mergeCell ref="AF83:AF87"/>
    <mergeCell ref="AG83:AG87"/>
    <mergeCell ref="AH83:AH87"/>
    <mergeCell ref="AI83:AI87"/>
    <mergeCell ref="AJ83:AJ87"/>
    <mergeCell ref="AK83:AK87"/>
    <mergeCell ref="N84:N86"/>
    <mergeCell ref="O84:O86"/>
    <mergeCell ref="P84:P86"/>
    <mergeCell ref="Q84:Q86"/>
    <mergeCell ref="R84:R86"/>
    <mergeCell ref="S84:S86"/>
    <mergeCell ref="T84:T86"/>
    <mergeCell ref="U84:U86"/>
    <mergeCell ref="V84:V86"/>
    <mergeCell ref="W84:W86"/>
    <mergeCell ref="X84:X86"/>
    <mergeCell ref="Y84:Y86"/>
    <mergeCell ref="G83:G87"/>
  </mergeCells>
  <dataValidations count="535">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textLength" operator="lessThanOrEqual" allowBlank="1" showInputMessage="1" showErrorMessage="1" errorTitle="Ошибка" error="Допускается ввод не более 900 символов!" sqref="K16">
      <formula1>900</formula1>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textLength" operator="lessThanOrEqual" allowBlank="1" showInputMessage="1" showErrorMessage="1" errorTitle="Ошибка" error="Допускается ввод не более 900 символов!" sqref="K17">
      <formula1>900</formula1>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
      <formula1>"a"</formula1>
    </dataValidation>
    <dataValidation type="textLength" operator="lessThanOrEqual" allowBlank="1" showInputMessage="1" showErrorMessage="1" errorTitle="Ошибка" error="Допускается ввод не более 900 символов!" sqref="K19">
      <formula1>900</formula1>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textLength" operator="lessThanOrEqual" allowBlank="1" showInputMessage="1" showErrorMessage="1" errorTitle="Ошибка" error="Допускается ввод не более 900 символов!" sqref="K34">
      <formula1>900</formula1>
    </dataValidation>
    <dataValidation type="textLength" operator="lessThanOrEqual" allowBlank="1" showInputMessage="1" showErrorMessage="1" errorTitle="Ошибка" error="Допускается ввод не более 900 символов!" sqref="M34">
      <formula1>900</formula1>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textLength" operator="lessThanOrEqual" allowBlank="1" showInputMessage="1" showErrorMessage="1" errorTitle="Ошибка" error="Допускается ввод не более 900 символов!" sqref="K35">
      <formula1>900</formula1>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textLength" operator="lessThanOrEqual" allowBlank="1" showInputMessage="1" showErrorMessage="1" errorTitle="Ошибка" error="Допускается ввод не более 900 символов!" sqref="K36">
      <formula1>900</formula1>
    </dataValidation>
    <dataValidation type="decimal" allowBlank="1" showErrorMessage="1" errorTitle="Ошибка" error="Допускается ввод только неотрицательных чисел!" sqref="AC36">
      <formula1>0</formula1>
      <formula2>9.99999999999999E+23</formula2>
    </dataValidation>
    <dataValidation type="decimal" allowBlank="1" showErrorMessage="1" errorTitle="Ошибка" error="Допускается ввод только неотрицательных чисел!" sqref="AE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textLength" operator="lessThanOrEqual" allowBlank="1" showInputMessage="1" showErrorMessage="1" errorTitle="Ошибка" error="Допускается ввод не более 900 символов!" sqref="K37">
      <formula1>900</formula1>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textLength" operator="lessThanOrEqual" allowBlank="1" showInputMessage="1" showErrorMessage="1" errorTitle="Ошибка" error="Допускается ввод не более 900 символов!" sqref="K52">
      <formula1>900</formula1>
    </dataValidation>
    <dataValidation type="textLength" operator="lessThanOrEqual" allowBlank="1" showInputMessage="1" showErrorMessage="1" errorTitle="Ошибка" error="Допускается ввод не более 900 символов!" sqref="M52">
      <formula1>900</formula1>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textLength" operator="lessThanOrEqual" allowBlank="1" showInputMessage="1" showErrorMessage="1" errorTitle="Ошибка" error="Допускается ввод не более 900 символов!" sqref="K53">
      <formula1>900</formula1>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textLength" operator="lessThanOrEqual" allowBlank="1" showInputMessage="1" showErrorMessage="1" errorTitle="Ошибка" error="Допускается ввод не более 900 символов!" sqref="K54">
      <formula1>900</formula1>
    </dataValidation>
    <dataValidation type="decimal" allowBlank="1" showErrorMessage="1" errorTitle="Ошибка" error="Допускается ввод только неотрицательных чисел!" sqref="AC54">
      <formula1>0</formula1>
      <formula2>9.99999999999999E+23</formula2>
    </dataValidation>
    <dataValidation type="decimal" allowBlank="1" showErrorMessage="1" errorTitle="Ошибка" error="Допускается ввод только неотрицательных чисел!" sqref="AE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
      <formula1>"a"</formula1>
    </dataValidation>
    <dataValidation type="textLength" operator="lessThanOrEqual" allowBlank="1" showInputMessage="1" showErrorMessage="1" errorTitle="Ошибка" error="Допускается ввод не более 900 символов!" sqref="K55">
      <formula1>900</formula1>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
      <formula1>"a"</formula1>
    </dataValidation>
    <dataValidation type="textLength" operator="lessThanOrEqual" allowBlank="1" showInputMessage="1" showErrorMessage="1" errorTitle="Ошибка" error="Допускается ввод не более 900 символов!" sqref="K68">
      <formula1>900</formula1>
    </dataValidation>
    <dataValidation type="textLength" operator="lessThanOrEqual" allowBlank="1" showInputMessage="1" showErrorMessage="1" errorTitle="Ошибка" error="Допускается ввод не более 900 символов!" sqref="M68">
      <formula1>900</formula1>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textLength" operator="lessThanOrEqual" allowBlank="1" showInputMessage="1" showErrorMessage="1" errorTitle="Ошибка" error="Допускается ввод не более 900 символов!" sqref="K69">
      <formula1>900</formula1>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
      <formula1>"a"</formula1>
    </dataValidation>
    <dataValidation type="textLength" operator="lessThanOrEqual" allowBlank="1" showInputMessage="1" showErrorMessage="1" errorTitle="Ошибка" error="Допускается ввод не более 900 символов!" sqref="K70">
      <formula1>900</formula1>
    </dataValidation>
    <dataValidation type="decimal" allowBlank="1" showErrorMessage="1" errorTitle="Ошибка" error="Допускается ввод только неотрицательных чисел!" sqref="AC70">
      <formula1>0</formula1>
      <formula2>9.99999999999999E+23</formula2>
    </dataValidation>
    <dataValidation type="decimal" allowBlank="1" showErrorMessage="1" errorTitle="Ошибка" error="Допускается ввод только неотрицательных чисел!" sqref="AE70">
      <formula1>0</formula1>
      <formula2>9.99999999999999E+23</formula2>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textLength" operator="lessThanOrEqual" allowBlank="1" showInputMessage="1" showErrorMessage="1" errorTitle="Ошибка" error="Допускается ввод не более 900 символов!" sqref="K71">
      <formula1>900</formula1>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textLength" operator="lessThanOrEqual" allowBlank="1" showInputMessage="1" showErrorMessage="1" errorTitle="Ошибка" error="Допускается ввод не более 900 символов!" sqref="K89">
      <formula1>900</formula1>
    </dataValidation>
    <dataValidation type="textLength" operator="lessThanOrEqual" allowBlank="1" showInputMessage="1" showErrorMessage="1" errorTitle="Ошибка" error="Допускается ввод не более 900 символов!" sqref="M89">
      <formula1>900</formula1>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textLength" operator="lessThanOrEqual" allowBlank="1" showInputMessage="1" showErrorMessage="1" errorTitle="Ошибка" error="Допускается ввод не более 900 символов!" sqref="K90">
      <formula1>900</formula1>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
      <formula1>"a"</formula1>
    </dataValidation>
    <dataValidation type="textLength" operator="lessThanOrEqual" allowBlank="1" showInputMessage="1" showErrorMessage="1" errorTitle="Ошибка" error="Допускается ввод не более 900 символов!" sqref="K91">
      <formula1>900</formula1>
    </dataValidation>
    <dataValidation type="decimal" allowBlank="1" showErrorMessage="1" errorTitle="Ошибка" error="Допускается ввод только неотрицательных чисел!" sqref="AC91">
      <formula1>0</formula1>
      <formula2>9.99999999999999E+23</formula2>
    </dataValidation>
    <dataValidation type="decimal" allowBlank="1" showErrorMessage="1" errorTitle="Ошибка" error="Допускается ввод только неотрицательных чисел!" sqref="AE91">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textLength" operator="lessThanOrEqual" allowBlank="1" showInputMessage="1" showErrorMessage="1" errorTitle="Ошибка" error="Допускается ввод не более 900 символов!" sqref="K92">
      <formula1>900</formula1>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textLength" operator="lessThanOrEqual" allowBlank="1" showInputMessage="1" showErrorMessage="1" errorTitle="Ошибка" error="Допускается ввод не более 900 символов!" sqref="K22">
      <formula1>900</formula1>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textLength" operator="lessThanOrEqual" allowBlank="1" showInputMessage="1" showErrorMessage="1" errorTitle="Ошибка" error="Допускается ввод не более 900 символов!" sqref="K23">
      <formula1>900</formula1>
    </dataValidation>
    <dataValidation type="decimal" allowBlank="1" showErrorMessage="1" errorTitle="Ошибка" error="Допускается ввод только неотрицательных чисел!" sqref="AC23">
      <formula1>0</formula1>
      <formula2>9.99999999999999E+23</formula2>
    </dataValidation>
    <dataValidation type="decimal" allowBlank="1" showErrorMessage="1" errorTitle="Ошибка" error="Допускается ввод только неотрицательных чисел!" sqref="AE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
      <formula1>"a"</formula1>
    </dataValidation>
    <dataValidation type="textLength" operator="lessThanOrEqual" allowBlank="1" showInputMessage="1" showErrorMessage="1" errorTitle="Ошибка" error="Допускается ввод не более 900 символов!" sqref="K25">
      <formula1>900</formula1>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textLength" operator="lessThanOrEqual" allowBlank="1" showInputMessage="1" showErrorMessage="1" errorTitle="Ошибка" error="Допускается ввод не более 900 символов!" sqref="K39">
      <formula1>900</formula1>
    </dataValidation>
    <dataValidation type="textLength" operator="lessThanOrEqual" allowBlank="1" showInputMessage="1" showErrorMessage="1" errorTitle="Ошибка" error="Допускается ввод не более 900 символов!" sqref="M39">
      <formula1>900</formula1>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textLength" operator="lessThanOrEqual" allowBlank="1" showInputMessage="1" showErrorMessage="1" errorTitle="Ошибка" error="Допускается ввод не более 900 символов!" sqref="K40">
      <formula1>900</formula1>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textLength" operator="lessThanOrEqual" allowBlank="1" showInputMessage="1" showErrorMessage="1" errorTitle="Ошибка" error="Допускается ввод не более 900 символов!" sqref="K41">
      <formula1>900</formula1>
    </dataValidation>
    <dataValidation type="decimal" allowBlank="1" showErrorMessage="1" errorTitle="Ошибка" error="Допускается ввод только неотрицательных чисел!" sqref="AC41">
      <formula1>0</formula1>
      <formula2>9.99999999999999E+23</formula2>
    </dataValidation>
    <dataValidation type="decimal" allowBlank="1" showErrorMessage="1" errorTitle="Ошибка" error="Допускается ввод только неотрицательных чисел!" sqref="AE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textLength" operator="lessThanOrEqual" allowBlank="1" showInputMessage="1" showErrorMessage="1" errorTitle="Ошибка" error="Допускается ввод не более 900 символов!" sqref="K43">
      <formula1>900</formula1>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textLength" operator="lessThanOrEqual" allowBlank="1" showInputMessage="1" showErrorMessage="1" errorTitle="Ошибка" error="Допускается ввод не более 900 символов!" sqref="K57">
      <formula1>900</formula1>
    </dataValidation>
    <dataValidation type="textLength" operator="lessThanOrEqual" allowBlank="1" showInputMessage="1" showErrorMessage="1" errorTitle="Ошибка" error="Допускается ввод не более 900 символов!" sqref="M57">
      <formula1>900</formula1>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textLength" operator="lessThanOrEqual" allowBlank="1" showInputMessage="1" showErrorMessage="1" errorTitle="Ошибка" error="Допускается ввод не более 900 символов!" sqref="K58">
      <formula1>900</formula1>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textLength" operator="lessThanOrEqual" allowBlank="1" showInputMessage="1" showErrorMessage="1" errorTitle="Ошибка" error="Допускается ввод не более 900 символов!" sqref="K59">
      <formula1>900</formula1>
    </dataValidation>
    <dataValidation type="decimal" allowBlank="1" showErrorMessage="1" errorTitle="Ошибка" error="Допускается ввод только неотрицательных чисел!" sqref="AC59">
      <formula1>0</formula1>
      <formula2>9.99999999999999E+23</formula2>
    </dataValidation>
    <dataValidation type="decimal" allowBlank="1" showErrorMessage="1" errorTitle="Ошибка" error="Допускается ввод только неотрицательных чисел!" sqref="AE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textLength" operator="lessThanOrEqual" allowBlank="1" showInputMessage="1" showErrorMessage="1" errorTitle="Ошибка" error="Допускается ввод не более 900 символов!" sqref="K60">
      <formula1>900</formula1>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
      <formula1>"a"</formula1>
    </dataValidation>
    <dataValidation type="textLength" operator="lessThanOrEqual" allowBlank="1" showInputMessage="1" showErrorMessage="1" errorTitle="Ошибка" error="Допускается ввод не более 900 символов!" sqref="K73">
      <formula1>900</formula1>
    </dataValidation>
    <dataValidation type="textLength" operator="lessThanOrEqual" allowBlank="1" showInputMessage="1" showErrorMessage="1" errorTitle="Ошибка" error="Допускается ввод не более 900 символов!" sqref="M73">
      <formula1>900</formula1>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textLength" operator="lessThanOrEqual" allowBlank="1" showInputMessage="1" showErrorMessage="1" errorTitle="Ошибка" error="Допускается ввод не более 900 символов!" sqref="K74">
      <formula1>900</formula1>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
      <formula1>"a"</formula1>
    </dataValidation>
    <dataValidation type="textLength" operator="lessThanOrEqual" allowBlank="1" showInputMessage="1" showErrorMessage="1" errorTitle="Ошибка" error="Допускается ввод не более 900 символов!" sqref="K75">
      <formula1>900</formula1>
    </dataValidation>
    <dataValidation type="decimal" allowBlank="1" showErrorMessage="1" errorTitle="Ошибка" error="Допускается ввод только неотрицательных чисел!" sqref="AC75">
      <formula1>0</formula1>
      <formula2>9.99999999999999E+23</formula2>
    </dataValidation>
    <dataValidation type="decimal" allowBlank="1" showErrorMessage="1" errorTitle="Ошибка" error="Допускается ввод только неотрицательных чисел!" sqref="AE75">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textLength" operator="lessThanOrEqual" allowBlank="1" showInputMessage="1" showErrorMessage="1" errorTitle="Ошибка" error="Допускается ввод не более 900 символов!" sqref="K76">
      <formula1>900</formula1>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textLength" operator="lessThanOrEqual" allowBlank="1" showInputMessage="1" showErrorMessage="1" errorTitle="Ошибка" error="Допускается ввод не более 900 символов!" sqref="K94">
      <formula1>900</formula1>
    </dataValidation>
    <dataValidation type="textLength" operator="lessThanOrEqual" allowBlank="1" showInputMessage="1" showErrorMessage="1" errorTitle="Ошибка" error="Допускается ввод не более 900 символов!" sqref="M94">
      <formula1>900</formula1>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
      <formula1>"a"</formula1>
    </dataValidation>
    <dataValidation type="textLength" operator="lessThanOrEqual" allowBlank="1" showInputMessage="1" showErrorMessage="1" errorTitle="Ошибка" error="Допускается ввод не более 900 символов!" sqref="K95">
      <formula1>900</formula1>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
      <formula1>"a"</formula1>
    </dataValidation>
    <dataValidation type="textLength" operator="lessThanOrEqual" allowBlank="1" showInputMessage="1" showErrorMessage="1" errorTitle="Ошибка" error="Допускается ввод не более 900 символов!" sqref="K96">
      <formula1>900</formula1>
    </dataValidation>
    <dataValidation type="decimal" allowBlank="1" showErrorMessage="1" errorTitle="Ошибка" error="Допускается ввод только неотрицательных чисел!" sqref="AC96">
      <formula1>0</formula1>
      <formula2>9.99999999999999E+23</formula2>
    </dataValidation>
    <dataValidation type="decimal" allowBlank="1" showErrorMessage="1" errorTitle="Ошибка" error="Допускается ввод только неотрицательных чисел!" sqref="AE96">
      <formula1>0</formula1>
      <formula2>9.99999999999999E+23</formula2>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
      <formula1>"a"</formula1>
    </dataValidation>
    <dataValidation type="textLength" operator="lessThanOrEqual" allowBlank="1" showInputMessage="1" showErrorMessage="1" errorTitle="Ошибка" error="Допускается ввод не более 900 символов!" sqref="K97">
      <formula1>900</formula1>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textLength" operator="lessThanOrEqual" allowBlank="1" showInputMessage="1" showErrorMessage="1" errorTitle="Ошибка" error="Допускается ввод не более 900 символов!" sqref="K78">
      <formula1>900</formula1>
    </dataValidation>
    <dataValidation type="textLength" operator="lessThanOrEqual" allowBlank="1" showInputMessage="1" showErrorMessage="1" errorTitle="Ошибка" error="Допускается ввод не более 900 символов!" sqref="M78">
      <formula1>900</formula1>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
      <formula1>"a"</formula1>
    </dataValidation>
    <dataValidation type="textLength" operator="lessThanOrEqual" allowBlank="1" showInputMessage="1" showErrorMessage="1" errorTitle="Ошибка" error="Допускается ввод не более 900 символов!" sqref="K79">
      <formula1>900</formula1>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
      <formula1>"a"</formula1>
    </dataValidation>
    <dataValidation type="textLength" operator="lessThanOrEqual" allowBlank="1" showInputMessage="1" showErrorMessage="1" errorTitle="Ошибка" error="Допускается ввод не более 900 символов!" sqref="K80">
      <formula1>900</formula1>
    </dataValidation>
    <dataValidation type="decimal" allowBlank="1" showErrorMessage="1" errorTitle="Ошибка" error="Допускается ввод только неотрицательных чисел!" sqref="AC80">
      <formula1>0</formula1>
      <formula2>9.99999999999999E+23</formula2>
    </dataValidation>
    <dataValidation type="decimal" allowBlank="1" showErrorMessage="1" errorTitle="Ошибка" error="Допускается ввод только неотрицательных чисел!" sqref="AE80">
      <formula1>0</formula1>
      <formula2>9.99999999999999E+23</formula2>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textLength" operator="lessThanOrEqual" allowBlank="1" showInputMessage="1" showErrorMessage="1" errorTitle="Ошибка" error="Допускается ввод не более 900 символов!" sqref="K81">
      <formula1>900</formula1>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textLength" operator="lessThanOrEqual" allowBlank="1" showInputMessage="1" showErrorMessage="1" errorTitle="Ошибка" error="Допускается ввод не более 900 символов!" sqref="K99">
      <formula1>900</formula1>
    </dataValidation>
    <dataValidation type="textLength" operator="lessThanOrEqual" allowBlank="1" showInputMessage="1" showErrorMessage="1" errorTitle="Ошибка" error="Допускается ввод не более 900 символов!" sqref="M99">
      <formula1>900</formula1>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
      <formula1>"a"</formula1>
    </dataValidation>
    <dataValidation type="textLength" operator="lessThanOrEqual" allowBlank="1" showInputMessage="1" showErrorMessage="1" errorTitle="Ошибка" error="Допускается ввод не более 900 символов!" sqref="K100">
      <formula1>900</formula1>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
      <formula1>"a"</formula1>
    </dataValidation>
    <dataValidation type="textLength" operator="lessThanOrEqual" allowBlank="1" showInputMessage="1" showErrorMessage="1" errorTitle="Ошибка" error="Допускается ввод не более 900 символов!" sqref="K101">
      <formula1>900</formula1>
    </dataValidation>
    <dataValidation type="decimal" allowBlank="1" showErrorMessage="1" errorTitle="Ошибка" error="Допускается ввод только неотрицательных чисел!" sqref="AC101">
      <formula1>0</formula1>
      <formula2>9.99999999999999E+23</formula2>
    </dataValidation>
    <dataValidation type="decimal" allowBlank="1" showErrorMessage="1" errorTitle="Ошибка" error="Допускается ввод только неотрицательных чисел!" sqref="AE101">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textLength" operator="lessThanOrEqual" allowBlank="1" showInputMessage="1" showErrorMessage="1" errorTitle="Ошибка" error="Допускается ввод не более 900 символов!" sqref="K102">
      <formula1>900</formula1>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textLength" operator="lessThanOrEqual" allowBlank="1" showInputMessage="1" showErrorMessage="1" errorTitle="Ошибка" error="Допускается ввод не более 900 символов!" sqref="M27">
      <formula1>900</formula1>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textLength" operator="lessThanOrEqual" allowBlank="1" showInputMessage="1" showErrorMessage="1" errorTitle="Ошибка" error="Допускается ввод не более 900 символов!" sqref="K28">
      <formula1>900</formula1>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textLength" operator="lessThanOrEqual" allowBlank="1" showInputMessage="1" showErrorMessage="1" errorTitle="Ошибка" error="Допускается ввод не более 900 символов!" sqref="K29">
      <formula1>900</formula1>
    </dataValidation>
    <dataValidation type="decimal" allowBlank="1" showErrorMessage="1" errorTitle="Ошибка" error="Допускается ввод только неотрицательных чисел!" sqref="AC29">
      <formula1>0</formula1>
      <formula2>9.99999999999999E+23</formula2>
    </dataValidation>
    <dataValidation type="decimal" allowBlank="1" showErrorMessage="1" errorTitle="Ошибка" error="Допускается ввод только неотрицательных чисел!" sqref="AE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
      <formula1>"a"</formula1>
    </dataValidation>
    <dataValidation type="textLength" operator="lessThanOrEqual" allowBlank="1" showInputMessage="1" showErrorMessage="1" errorTitle="Ошибка" error="Допускается ввод не более 900 символов!" sqref="K31">
      <formula1>900</formula1>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textLength" operator="lessThanOrEqual" allowBlank="1" showInputMessage="1" showErrorMessage="1" errorTitle="Ошибка" error="Допускается ввод не более 900 символов!" sqref="K45">
      <formula1>900</formula1>
    </dataValidation>
    <dataValidation type="textLength" operator="lessThanOrEqual" allowBlank="1" showInputMessage="1" showErrorMessage="1" errorTitle="Ошибка" error="Допускается ввод не более 900 символов!" sqref="M45">
      <formula1>900</formula1>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textLength" operator="lessThanOrEqual" allowBlank="1" showInputMessage="1" showErrorMessage="1" errorTitle="Ошибка" error="Допускается ввод не более 900 символов!" sqref="K46">
      <formula1>900</formula1>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textLength" operator="lessThanOrEqual" allowBlank="1" showInputMessage="1" showErrorMessage="1" errorTitle="Ошибка" error="Допускается ввод не более 900 символов!" sqref="K47">
      <formula1>900</formula1>
    </dataValidation>
    <dataValidation type="decimal" allowBlank="1" showErrorMessage="1" errorTitle="Ошибка" error="Допускается ввод только неотрицательных чисел!" sqref="AC47">
      <formula1>0</formula1>
      <formula2>9.99999999999999E+23</formula2>
    </dataValidation>
    <dataValidation type="decimal" allowBlank="1" showErrorMessage="1" errorTitle="Ошибка" error="Допускается ввод только неотрицательных чисел!" sqref="AE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textLength" operator="lessThanOrEqual" allowBlank="1" showInputMessage="1" showErrorMessage="1" errorTitle="Ошибка" error="Допускается ввод не более 900 символов!" sqref="K49">
      <formula1>900</formula1>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textLength" operator="lessThanOrEqual" allowBlank="1" showInputMessage="1" showErrorMessage="1" errorTitle="Ошибка" error="Допускается ввод не более 900 символов!" sqref="K62">
      <formula1>900</formula1>
    </dataValidation>
    <dataValidation type="textLength" operator="lessThanOrEqual" allowBlank="1" showInputMessage="1" showErrorMessage="1" errorTitle="Ошибка" error="Допускается ввод не более 900 символов!" sqref="M62">
      <formula1>900</formula1>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textLength" operator="lessThanOrEqual" allowBlank="1" showInputMessage="1" showErrorMessage="1" errorTitle="Ошибка" error="Допускается ввод не более 900 символов!" sqref="K63">
      <formula1>900</formula1>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textLength" operator="lessThanOrEqual" allowBlank="1" showInputMessage="1" showErrorMessage="1" errorTitle="Ошибка" error="Допускается ввод не более 900 символов!" sqref="K64">
      <formula1>900</formula1>
    </dataValidation>
    <dataValidation type="decimal" allowBlank="1" showErrorMessage="1" errorTitle="Ошибка" error="Допускается ввод только неотрицательных чисел!" sqref="AC64">
      <formula1>0</formula1>
      <formula2>9.99999999999999E+23</formula2>
    </dataValidation>
    <dataValidation type="decimal" allowBlank="1" showErrorMessage="1" errorTitle="Ошибка" error="Допускается ввод только неотрицательных чисел!" sqref="AE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textLength" operator="lessThanOrEqual" allowBlank="1" showInputMessage="1" showErrorMessage="1" errorTitle="Ошибка" error="Допускается ввод не более 900 символов!" sqref="K65">
      <formula1>900</formula1>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textLength" operator="lessThanOrEqual" allowBlank="1" showInputMessage="1" showErrorMessage="1" errorTitle="Ошибка" error="Допускается ввод не более 900 символов!" sqref="K104">
      <formula1>900</formula1>
    </dataValidation>
    <dataValidation type="textLength" operator="lessThanOrEqual" allowBlank="1" showInputMessage="1" showErrorMessage="1" errorTitle="Ошибка" error="Допускается ввод не более 900 символов!" sqref="M104">
      <formula1>900</formula1>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
      <formula1>"a"</formula1>
    </dataValidation>
    <dataValidation type="textLength" operator="lessThanOrEqual" allowBlank="1" showInputMessage="1" showErrorMessage="1" errorTitle="Ошибка" error="Допускается ввод не более 900 символов!" sqref="K105">
      <formula1>900</formula1>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
      <formula1>"a"</formula1>
    </dataValidation>
    <dataValidation type="textLength" operator="lessThanOrEqual" allowBlank="1" showInputMessage="1" showErrorMessage="1" errorTitle="Ошибка" error="Допускается ввод не более 900 символов!" sqref="K106">
      <formula1>900</formula1>
    </dataValidation>
    <dataValidation type="decimal" allowBlank="1" showErrorMessage="1" errorTitle="Ошибка" error="Допускается ввод только неотрицательных чисел!" sqref="AC106">
      <formula1>0</formula1>
      <formula2>9.99999999999999E+23</formula2>
    </dataValidation>
    <dataValidation type="decimal" allowBlank="1" showErrorMessage="1" errorTitle="Ошибка" error="Допускается ввод только неотрицательных чисел!" sqref="AE106">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textLength" operator="lessThanOrEqual" allowBlank="1" showInputMessage="1" showErrorMessage="1" errorTitle="Ошибка" error="Допускается ввод не более 900 символов!" sqref="K107">
      <formula1>900</formula1>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
      <formula1>"a"</formula1>
    </dataValidation>
    <dataValidation type="textLength" operator="lessThanOrEqual" allowBlank="1" showInputMessage="1" showErrorMessage="1" errorTitle="Ошибка" error="Допускается ввод не более 900 символов!" sqref="K109">
      <formula1>900</formula1>
    </dataValidation>
    <dataValidation type="textLength" operator="lessThanOrEqual" allowBlank="1" showInputMessage="1" showErrorMessage="1" errorTitle="Ошибка" error="Допускается ввод не более 900 символов!" sqref="M109">
      <formula1>900</formula1>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
      <formula1>"a"</formula1>
    </dataValidation>
    <dataValidation type="textLength" operator="lessThanOrEqual" allowBlank="1" showInputMessage="1" showErrorMessage="1" errorTitle="Ошибка" error="Допускается ввод не более 900 символов!" sqref="K110">
      <formula1>900</formula1>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1">
      <formula1>"a"</formula1>
    </dataValidation>
    <dataValidation type="textLength" operator="lessThanOrEqual" allowBlank="1" showInputMessage="1" showErrorMessage="1" errorTitle="Ошибка" error="Допускается ввод не более 900 символов!" sqref="K111">
      <formula1>900</formula1>
    </dataValidation>
    <dataValidation type="decimal" allowBlank="1" showErrorMessage="1" errorTitle="Ошибка" error="Допускается ввод только неотрицательных чисел!" sqref="AC111">
      <formula1>0</formula1>
      <formula2>9.99999999999999E+23</formula2>
    </dataValidation>
    <dataValidation type="decimal" allowBlank="1" showErrorMessage="1" errorTitle="Ошибка" error="Допускается ввод только неотрицательных чисел!" sqref="AE111">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2">
      <formula1>"a"</formula1>
    </dataValidation>
    <dataValidation type="textLength" operator="lessThanOrEqual" allowBlank="1" showInputMessage="1" showErrorMessage="1" errorTitle="Ошибка" error="Допускается ввод не более 900 символов!" sqref="K112">
      <formula1>900</formula1>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textLength" operator="lessThanOrEqual" allowBlank="1" showInputMessage="1" showErrorMessage="1" errorTitle="Ошибка" error="Допускается ввод не более 900 символов!" sqref="K114">
      <formula1>900</formula1>
    </dataValidation>
    <dataValidation type="textLength" operator="lessThanOrEqual" allowBlank="1" showInputMessage="1" showErrorMessage="1" errorTitle="Ошибка" error="Допускается ввод не более 900 символов!" sqref="M114">
      <formula1>900</formula1>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
      <formula1>"a"</formula1>
    </dataValidation>
    <dataValidation type="textLength" operator="lessThanOrEqual" allowBlank="1" showInputMessage="1" showErrorMessage="1" errorTitle="Ошибка" error="Допускается ввод не более 900 символов!" sqref="K115">
      <formula1>900</formula1>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
      <formula1>"a"</formula1>
    </dataValidation>
    <dataValidation type="textLength" operator="lessThanOrEqual" allowBlank="1" showInputMessage="1" showErrorMessage="1" errorTitle="Ошибка" error="Допускается ввод не более 900 символов!" sqref="K116">
      <formula1>900</formula1>
    </dataValidation>
    <dataValidation type="decimal" allowBlank="1" showErrorMessage="1" errorTitle="Ошибка" error="Допускается ввод только неотрицательных чисел!" sqref="AC116">
      <formula1>0</formula1>
      <formula2>9.99999999999999E+23</formula2>
    </dataValidation>
    <dataValidation type="decimal" allowBlank="1" showErrorMessage="1" errorTitle="Ошибка" error="Допускается ввод только неотрицательных чисел!" sqref="AE116">
      <formula1>0</formula1>
      <formula2>9.99999999999999E+23</formula2>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7">
      <formula1>"a"</formula1>
    </dataValidation>
    <dataValidation type="textLength" operator="lessThanOrEqual" allowBlank="1" showInputMessage="1" showErrorMessage="1" errorTitle="Ошибка" error="Допускается ввод не более 900 символов!" sqref="K117">
      <formula1>900</formula1>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whole" allowBlank="1" showErrorMessage="1" errorTitle="Ошибка" error="Допускается ввод только неотрицательных целых чисел!" sqref="AF118">
      <formula1>0</formula1>
      <formula2>9.99999999999999E+23</formula2>
    </dataValidation>
    <dataValidation type="whole" allowBlank="1" showErrorMessage="1" errorTitle="Ошибка" error="Допускается ввод только неотрицательных целых чисел!" sqref="AI1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
      <formula1>"a"</formula1>
    </dataValidation>
    <dataValidation type="textLength" operator="lessThanOrEqual" allowBlank="1" showInputMessage="1" showErrorMessage="1" errorTitle="Ошибка" error="Допускается ввод не более 900 символов!" sqref="K119">
      <formula1>900</formula1>
    </dataValidation>
    <dataValidation type="textLength" operator="lessThanOrEqual" allowBlank="1" showInputMessage="1" showErrorMessage="1" errorTitle="Ошибка" error="Допускается ввод не более 900 символов!" sqref="M119">
      <formula1>900</formula1>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textLength" operator="lessThanOrEqual" allowBlank="1" showInputMessage="1" showErrorMessage="1" errorTitle="Ошибка" error="Допускается ввод не более 900 символов!" sqref="K120">
      <formula1>900</formula1>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1">
      <formula1>"a"</formula1>
    </dataValidation>
    <dataValidation type="textLength" operator="lessThanOrEqual" allowBlank="1" showInputMessage="1" showErrorMessage="1" errorTitle="Ошибка" error="Допускается ввод не более 900 символов!" sqref="K121">
      <formula1>900</formula1>
    </dataValidation>
    <dataValidation type="decimal" allowBlank="1" showErrorMessage="1" errorTitle="Ошибка" error="Допускается ввод только неотрицательных чисел!" sqref="AC121">
      <formula1>0</formula1>
      <formula2>9.99999999999999E+23</formula2>
    </dataValidation>
    <dataValidation type="decimal" allowBlank="1" showErrorMessage="1" errorTitle="Ошибка" error="Допускается ввод только неотрицательных чисел!" sqref="AE121">
      <formula1>0</formula1>
      <formula2>9.99999999999999E+23</formula2>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
      <formula1>"a"</formula1>
    </dataValidation>
    <dataValidation type="textLength" operator="lessThanOrEqual" allowBlank="1" showInputMessage="1" showErrorMessage="1" errorTitle="Ошибка" error="Допускается ввод не более 900 символов!" sqref="K122">
      <formula1>900</formula1>
    </dataValidation>
    <dataValidation type="whole" allowBlank="1" showErrorMessage="1" errorTitle="Ошибка" error="Допускается ввод только неотрицательных целых чисел!" sqref="AF122">
      <formula1>0</formula1>
      <formula2>9.99999999999999E+23</formula2>
    </dataValidation>
    <dataValidation type="whole" allowBlank="1" showErrorMessage="1" errorTitle="Ошибка" error="Допускается ввод только неотрицательных целых чисел!" sqref="AI122">
      <formula1>0</formula1>
      <formula2>9.99999999999999E+23</formula2>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textLength" operator="lessThanOrEqual" allowBlank="1" showInputMessage="1" showErrorMessage="1" errorTitle="Ошибка" error="Допускается ввод не более 900 символов!" sqref="K83">
      <formula1>900</formula1>
    </dataValidation>
    <dataValidation type="textLength" operator="lessThanOrEqual" allowBlank="1" showInputMessage="1" showErrorMessage="1" errorTitle="Ошибка" error="Допускается ввод не более 900 символов!" sqref="M83">
      <formula1>900</formula1>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textLength" operator="lessThanOrEqual" allowBlank="1" showInputMessage="1" showErrorMessage="1" errorTitle="Ошибка" error="Допускается ввод не более 900 символов!" sqref="K84">
      <formula1>900</formula1>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
      <formula1>"a"</formula1>
    </dataValidation>
    <dataValidation type="textLength" operator="lessThanOrEqual" allowBlank="1" showInputMessage="1" showErrorMessage="1" errorTitle="Ошибка" error="Допускается ввод не более 900 символов!" sqref="K85">
      <formula1>900</formula1>
    </dataValidation>
    <dataValidation type="decimal" allowBlank="1" showErrorMessage="1" errorTitle="Ошибка" error="Допускается ввод только неотрицательных чисел!" sqref="AC85">
      <formula1>0</formula1>
      <formula2>9.99999999999999E+23</formula2>
    </dataValidation>
    <dataValidation type="decimal" allowBlank="1" showErrorMessage="1" errorTitle="Ошибка" error="Допускается ввод только неотрицательных чисел!" sqref="AE85">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
      <formula1>"a"</formula1>
    </dataValidation>
    <dataValidation type="textLength" operator="lessThanOrEqual" allowBlank="1" showInputMessage="1" showErrorMessage="1" errorTitle="Ошибка" error="Допускается ввод не более 900 символов!" sqref="K86">
      <formula1>900</formula1>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textLength" operator="lessThanOrEqual" allowBlank="1" showInputMessage="1" showErrorMessage="1" errorTitle="Ошибка" error="Допускается ввод не более 900 символов!" sqref="K24">
      <formula1>900</formula1>
    </dataValidation>
    <dataValidation type="decimal" allowBlank="1" showErrorMessage="1" errorTitle="Ошибка" error="Допускается ввод только неотрицательных чисел!" sqref="AC24">
      <formula1>0</formula1>
      <formula2>9.99999999999999E+23</formula2>
    </dataValidation>
    <dataValidation type="decimal" allowBlank="1" showErrorMessage="1" errorTitle="Ошибка" error="Допускается ввод только неотрицательных чисел!" sqref="AE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textLength" operator="lessThanOrEqual" allowBlank="1" showInputMessage="1" showErrorMessage="1" errorTitle="Ошибка" error="Допускается ввод не более 900 символов!" sqref="K30">
      <formula1>900</formula1>
    </dataValidation>
    <dataValidation type="decimal" allowBlank="1" showErrorMessage="1" errorTitle="Ошибка" error="Допускается ввод только неотрицательных чисел!" sqref="AC30">
      <formula1>0</formula1>
      <formula2>9.99999999999999E+23</formula2>
    </dataValidation>
    <dataValidation type="decimal" allowBlank="1" showErrorMessage="1" errorTitle="Ошибка" error="Допускается ввод только неотрицательных чисел!" sqref="AE30">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textLength" operator="lessThanOrEqual" allowBlank="1" showInputMessage="1" showErrorMessage="1" errorTitle="Ошибка" error="Допускается ввод не более 900 символов!" sqref="K18">
      <formula1>900</formula1>
    </dataValidation>
    <dataValidation type="decimal" allowBlank="1" showErrorMessage="1" errorTitle="Ошибка" error="Допускается ввод только неотрицательных чисел!" sqref="AC18">
      <formula1>0</formula1>
      <formula2>9.99999999999999E+23</formula2>
    </dataValidation>
    <dataValidation type="decimal" allowBlank="1" showErrorMessage="1" errorTitle="Ошибка" error="Допускается ввод только неотрицательных чисел!" sqref="AE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textLength" operator="lessThanOrEqual" allowBlank="1" showInputMessage="1" showErrorMessage="1" errorTitle="Ошибка" error="Допускается ввод не более 900 символов!" sqref="K42">
      <formula1>900</formula1>
    </dataValidation>
    <dataValidation type="decimal" allowBlank="1" showErrorMessage="1" errorTitle="Ошибка" error="Допускается ввод только неотрицательных чисел!" sqref="AC42">
      <formula1>0</formula1>
      <formula2>9.99999999999999E+23</formula2>
    </dataValidation>
    <dataValidation type="decimal" allowBlank="1" showErrorMessage="1" errorTitle="Ошибка" error="Допускается ввод только неотрицательных чисел!" sqref="AE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textLength" operator="lessThanOrEqual" allowBlank="1" showInputMessage="1" showErrorMessage="1" errorTitle="Ошибка" error="Допускается ввод не более 900 символов!" sqref="K48">
      <formula1>900</formula1>
    </dataValidation>
    <dataValidation type="decimal" allowBlank="1" showErrorMessage="1" errorTitle="Ошибка" error="Допускается ввод только неотрицательных чисел!" sqref="AC48">
      <formula1>0</formula1>
      <formula2>9.99999999999999E+23</formula2>
    </dataValidation>
    <dataValidation type="decimal" allowBlank="1" showErrorMessage="1" errorTitle="Ошибка" error="Допускается ввод только неотрицательных чисел!" sqref="AE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F457B-8EC9-F2DF-EADE-77C333BD18D6}" mc:Ignorable="x14ac xr xr2 xr3">
  <sheetPr>
    <tabColor theme="9" tint="-0.25"/>
  </sheetPr>
  <dimension ref="A1:AC58"/>
  <sheetViews>
    <sheetView topLeftCell="A1" showGridLines="0" zoomScale="85" workbookViewId="0">
      <selection activeCell="K8" sqref="K8"/>
    </sheetView>
  </sheetViews>
  <sheetFormatPr defaultColWidth="9.140625" customHeight="1" defaultRowHeight="10.5"/>
  <cols>
    <col min="1" max="3" style="3199" width="4.140625" hidden="1" customWidth="1"/>
    <col min="4" max="4" style="3159" width="4.140625" hidden="1" customWidth="1"/>
    <col min="5" max="5" style="2603" width="3.7109375" customWidth="1"/>
    <col min="6" max="6" style="2876" width="6.28125" customWidth="1"/>
    <col min="7" max="7" style="2876" width="60.140625" customWidth="1"/>
    <col min="8" max="9" style="2876" width="21.7109375" hidden="1" customWidth="1"/>
    <col min="10" max="10" style="2876" width="0.140625" customWidth="1"/>
    <col min="11" max="16" style="4122" width="21.7109375" hidden="1" customWidth="1"/>
    <col min="17" max="17" style="4122" width="0.140625" customWidth="1"/>
    <col min="18" max="18" style="2876" width="1.7109375" customWidth="1"/>
    <col min="19" max="29" style="2876" width="9.140625"/>
  </cols>
  <sheetData>
    <row s="3159" customFormat="1" customHeight="1" ht="10.5" hidden="1">
      <c r="A1" s="1180"/>
      <c r="B1" s="1180"/>
      <c r="C1" s="1180"/>
      <c r="E1" s="545"/>
      <c r="K1" s="4116"/>
      <c r="L1" s="4116"/>
      <c r="M1" s="4116"/>
      <c r="N1" s="4116"/>
      <c r="O1" s="4116"/>
      <c r="P1" s="4116"/>
      <c r="Q1" s="4116"/>
    </row>
    <row customHeight="1" ht="10.5" hidden="1">
      <c r="K2" s="4122"/>
      <c r="L2" s="4122"/>
      <c r="M2" s="4122"/>
      <c r="N2" s="4122"/>
      <c r="O2" s="4122"/>
      <c r="P2" s="4122"/>
      <c r="Q2" s="4122"/>
    </row>
    <row s="2875" customFormat="1" customHeight="1" ht="10.5" hidden="1">
      <c r="A3" s="1180"/>
      <c r="B3" s="1180"/>
      <c r="C3" s="1180"/>
      <c r="D3" s="1174"/>
      <c r="E3" s="360"/>
      <c r="K3" s="4346"/>
      <c r="L3" s="4346"/>
      <c r="M3" s="4346"/>
      <c r="N3" s="4346"/>
      <c r="O3" s="4346"/>
      <c r="P3" s="4346"/>
      <c r="Q3" s="4346"/>
    </row>
    <row customHeight="1" ht="3">
      <c r="K4" s="4122"/>
      <c r="L4" s="4122"/>
      <c r="M4" s="4122"/>
      <c r="N4" s="4122"/>
      <c r="O4" s="4122"/>
      <c r="P4" s="4122"/>
      <c r="Q4" s="4122"/>
    </row>
    <row customHeight="1" ht="30">
      <c r="F5" s="2181" t="s">
        <v>2005</v>
      </c>
      <c r="G5" s="2181"/>
      <c r="H5" s="2181"/>
      <c r="I5" s="2181"/>
      <c r="J5" s="2181"/>
      <c r="K5" s="4173"/>
      <c r="L5" s="4173"/>
      <c r="M5" s="4173"/>
      <c r="N5" s="4173"/>
      <c r="O5" s="4173"/>
      <c r="P5" s="4173"/>
      <c r="Q5" s="4173"/>
    </row>
    <row customHeight="1" ht="10.5">
      <c r="F6" s="2049" t="str">
        <f>IF(org=0,"Не определено",org)</f>
        <v>МУП "Уссурийск-Водоканал"</v>
      </c>
      <c r="G6" s="2049"/>
      <c r="H6" s="2049"/>
      <c r="I6" s="2049"/>
      <c r="J6" s="2049"/>
      <c r="K6" s="4174"/>
      <c r="L6" s="4174"/>
      <c r="M6" s="4174"/>
      <c r="N6" s="4174"/>
      <c r="O6" s="4174"/>
      <c r="P6" s="4174"/>
      <c r="Q6" s="4174"/>
    </row>
    <row customHeight="1" ht="11.25">
      <c r="E7" s="1184"/>
      <c r="F7" s="1251"/>
      <c r="G7" s="1251"/>
      <c r="H7" s="1251"/>
      <c r="I7" s="1251"/>
      <c r="J7" s="1251"/>
      <c r="K7" s="4693" t="s">
        <v>18</v>
      </c>
      <c r="L7" s="4693"/>
      <c r="M7" s="4693" t="s">
        <v>18</v>
      </c>
      <c r="N7" s="4693" t="s">
        <v>18</v>
      </c>
      <c r="O7" s="4693" t="s">
        <v>18</v>
      </c>
      <c r="P7" s="4693" t="s">
        <v>18</v>
      </c>
      <c r="Q7" s="4693"/>
      <c r="R7" s="1171"/>
      <c r="S7" s="1171"/>
      <c r="T7" s="1171"/>
      <c r="U7" s="1171"/>
      <c r="V7" s="1171"/>
      <c r="W7" s="1171"/>
      <c r="X7" s="1171"/>
      <c r="Y7" s="1171"/>
      <c r="Z7" s="1171"/>
      <c r="AA7" s="1171"/>
      <c r="AB7" s="1171"/>
      <c r="AC7" s="1171"/>
    </row>
    <row s="2587" customFormat="1" customHeight="1" ht="5.25">
      <c r="A8" s="1181"/>
      <c r="B8" s="1181"/>
      <c r="C8" s="1181"/>
      <c r="E8" s="1252"/>
      <c r="F8" s="1253"/>
      <c r="G8" s="1253"/>
      <c r="H8" s="1253"/>
      <c r="I8" s="1253"/>
      <c r="J8" s="1253"/>
      <c r="K8" s="4697" t="s">
        <v>1962</v>
      </c>
      <c r="L8" s="4697"/>
      <c r="M8" s="4697"/>
      <c r="N8" s="4697"/>
      <c r="O8" s="4697"/>
      <c r="P8" s="4697"/>
      <c r="Q8" s="4697"/>
      <c r="R8" s="1252"/>
      <c r="S8" s="1252"/>
      <c r="T8" s="1252"/>
      <c r="U8" s="1252"/>
      <c r="V8" s="1252"/>
      <c r="W8" s="1252"/>
      <c r="X8" s="1252"/>
      <c r="Y8" s="1252"/>
      <c r="Z8" s="1252"/>
      <c r="AA8" s="1252"/>
      <c r="AB8" s="1252"/>
      <c r="AC8" s="1252"/>
    </row>
    <row customHeight="1" ht="10.5">
      <c r="E9" s="1184"/>
      <c r="F9" s="2367" t="s">
        <v>293</v>
      </c>
      <c r="G9" s="2368"/>
      <c r="H9" s="2368"/>
      <c r="I9" s="2368"/>
      <c r="J9" s="2368"/>
      <c r="K9" s="4700"/>
      <c r="L9" s="4700"/>
      <c r="M9" s="4700"/>
      <c r="N9" s="4700"/>
      <c r="O9" s="4700"/>
      <c r="P9" s="4700"/>
      <c r="Q9" s="4700"/>
      <c r="R9" s="1264"/>
      <c r="S9" s="1171"/>
      <c r="T9" s="1171"/>
      <c r="U9" s="1171"/>
      <c r="V9" s="1171"/>
      <c r="W9" s="1171"/>
      <c r="X9" s="1171"/>
      <c r="Y9" s="1171"/>
      <c r="Z9" s="1171"/>
      <c r="AA9" s="1171"/>
      <c r="AB9" s="1171"/>
      <c r="AC9" s="1171"/>
    </row>
    <row customHeight="1" ht="24">
      <c r="E10" s="1171"/>
      <c r="F10" s="2371" t="s">
        <v>88</v>
      </c>
      <c r="G10" s="2376" t="s">
        <v>2006</v>
      </c>
      <c r="H10" s="2374" t="s">
        <v>2007</v>
      </c>
      <c r="I10" s="2374"/>
      <c r="J10" s="2374"/>
      <c r="K10" s="4705" t="s">
        <v>2007</v>
      </c>
      <c r="L10" s="4705"/>
      <c r="M10" s="4705"/>
      <c r="N10" s="4705"/>
      <c r="O10" s="4705"/>
      <c r="P10" s="4705"/>
      <c r="Q10" s="4705"/>
      <c r="R10" s="1257"/>
      <c r="S10" s="1171"/>
      <c r="T10" s="1171"/>
      <c r="U10" s="1171"/>
      <c r="V10" s="1171"/>
      <c r="W10" s="1171"/>
      <c r="X10" s="1171"/>
      <c r="Y10" s="1171"/>
      <c r="Z10" s="1171"/>
      <c r="AA10" s="1171"/>
      <c r="AB10" s="1171"/>
      <c r="AC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4709" t="str">
        <f>INDEX(IP_MAIN_LIST_NAME_IP,MATCH(K8,IP_MAIN_LIST_IP_ID,0))&amp;" ("&amp;INDEX(IP_MAIN_START_DATE,MATCH(K8,IP_MAIN_LIST_IP_ID,0))&amp;"-"&amp;INDEX(IP_MAIN_END_DATE,MATCH(K8,IP_MAIN_LIST_IP_ID,0))&amp;")"</f>
        <v>Инвестиционная программа № пр. 19-150/2 от 30.10.2018 МУП "Уссурийск-Водоканал" в сфере водоснабжения и водоотведения по модернизации и реконструкции объектов, на территории городского округа Уссурийский на 2019-2023 годы (01.01.2019-31.12.2023)</v>
      </c>
      <c r="L11" s="4709"/>
      <c r="M11" s="4709"/>
      <c r="N11" s="4709"/>
      <c r="O11" s="4709"/>
      <c r="P11" s="4709"/>
      <c r="Q11" s="4709"/>
      <c r="R11" s="1257"/>
      <c r="S11" s="1171"/>
      <c r="T11" s="1171"/>
      <c r="U11" s="1171"/>
      <c r="V11" s="1171"/>
      <c r="W11" s="1171"/>
      <c r="X11" s="1171"/>
      <c r="Y11" s="1171"/>
      <c r="Z11" s="1171"/>
      <c r="AA11" s="1171"/>
      <c r="AB11" s="1171"/>
      <c r="AC11" s="1171"/>
    </row>
    <row customHeight="1" ht="10.5">
      <c r="F12" s="2373"/>
      <c r="G12" s="2376"/>
      <c r="H12" s="1250" t="s">
        <v>2008</v>
      </c>
      <c r="I12" s="1256"/>
      <c r="J12" s="1250"/>
      <c r="K12" s="4713" t="s">
        <v>2008</v>
      </c>
      <c r="L12" s="4714">
        <v>2019</v>
      </c>
      <c r="M12" s="4714">
        <v>2020</v>
      </c>
      <c r="N12" s="4714">
        <v>2021</v>
      </c>
      <c r="O12" s="4714">
        <v>2022</v>
      </c>
      <c r="P12" s="4714">
        <v>2023</v>
      </c>
      <c r="Q12" s="4713"/>
      <c r="R12" s="1258"/>
    </row>
    <row customHeight="1" ht="10.5" hidden="1">
      <c r="F13" s="1250">
        <v>1</v>
      </c>
      <c r="G13" s="1250">
        <v>2</v>
      </c>
      <c r="H13" s="1250">
        <v>3</v>
      </c>
      <c r="I13" s="1250">
        <v>4</v>
      </c>
      <c r="J13" s="1250">
        <v>5</v>
      </c>
      <c r="K13" s="4713">
        <v>3</v>
      </c>
      <c r="L13" s="4713">
        <v>4</v>
      </c>
      <c r="M13" s="4713">
        <v>4</v>
      </c>
      <c r="N13" s="4713">
        <v>4</v>
      </c>
      <c r="O13" s="4713">
        <v>4</v>
      </c>
      <c r="P13" s="4713">
        <v>4</v>
      </c>
      <c r="Q13" s="4713">
        <v>5</v>
      </c>
      <c r="R13" s="1258"/>
    </row>
    <row customHeight="1" ht="11.25">
      <c r="F14" s="1249" t="s">
        <v>1073</v>
      </c>
      <c r="G14" s="2369" t="s">
        <v>2009</v>
      </c>
      <c r="H14" s="2369"/>
      <c r="I14" s="2369"/>
      <c r="J14" s="2369"/>
      <c r="K14" s="4718"/>
      <c r="L14" s="4718"/>
      <c r="M14" s="4718"/>
      <c r="N14" s="4718"/>
      <c r="O14" s="4718"/>
      <c r="P14" s="4718"/>
      <c r="Q14" s="4718"/>
      <c r="R14" s="1258"/>
    </row>
    <row customHeight="1" ht="11.25">
      <c r="F15" s="1254">
        <v>1</v>
      </c>
      <c r="G15" s="698" t="s">
        <v>2010</v>
      </c>
      <c r="H15" s="1260">
        <f>SUM(I15:J15)</f>
        <v>0</v>
      </c>
      <c r="I15" s="1260">
        <f>SUM(I16:I27)</f>
        <v>0</v>
      </c>
      <c r="J15" s="1249"/>
      <c r="K15" s="4721">
        <f>SUM(L15:Q15)</f>
        <v>0</v>
      </c>
      <c r="L15" s="4721">
        <f>SUM(L16:L27)</f>
        <v>0</v>
      </c>
      <c r="M15" s="4721">
        <f>SUM(M16:M27)</f>
        <v>0</v>
      </c>
      <c r="N15" s="4721">
        <f>SUM(N16:N27)</f>
        <v>0</v>
      </c>
      <c r="O15" s="4721">
        <f>SUM(O16:O27)</f>
        <v>0</v>
      </c>
      <c r="P15" s="4721">
        <f>SUM(P16:P27)</f>
        <v>0</v>
      </c>
      <c r="Q15" s="4705"/>
      <c r="R15" s="1258"/>
    </row>
    <row customHeight="1" ht="22.5">
      <c r="F16" s="1254" t="s">
        <v>431</v>
      </c>
      <c r="G16" s="1261" t="s">
        <v>1022</v>
      </c>
      <c r="H16" s="1260">
        <f>SUM(I16:J16)</f>
        <v>0</v>
      </c>
      <c r="I16" s="1259"/>
      <c r="J16" s="1249"/>
      <c r="K16" s="4721">
        <f>SUM(L16:Q16)</f>
        <v>0</v>
      </c>
      <c r="L16" s="4724"/>
      <c r="M16" s="4724"/>
      <c r="N16" s="4724"/>
      <c r="O16" s="4724"/>
      <c r="P16" s="4724"/>
      <c r="Q16" s="4705"/>
      <c r="R16" s="1258"/>
    </row>
    <row customHeight="1" ht="22.5">
      <c r="F17" s="1254" t="s">
        <v>446</v>
      </c>
      <c r="G17" s="1261" t="s">
        <v>1027</v>
      </c>
      <c r="H17" s="1260">
        <f>SUM(I17:J17)</f>
        <v>0</v>
      </c>
      <c r="I17" s="1259"/>
      <c r="J17" s="1249"/>
      <c r="K17" s="4721">
        <f>SUM(L17:Q17)</f>
        <v>0</v>
      </c>
      <c r="L17" s="4724"/>
      <c r="M17" s="4724"/>
      <c r="N17" s="4724"/>
      <c r="O17" s="4724"/>
      <c r="P17" s="4724"/>
      <c r="Q17" s="4705"/>
      <c r="R17" s="1258"/>
    </row>
    <row customHeight="1" ht="33.75">
      <c r="F18" s="1254" t="s">
        <v>449</v>
      </c>
      <c r="G18" s="1261" t="s">
        <v>1014</v>
      </c>
      <c r="H18" s="1260">
        <f>SUM(I18:J18)</f>
        <v>0</v>
      </c>
      <c r="I18" s="1259"/>
      <c r="J18" s="1249"/>
      <c r="K18" s="4721">
        <f>SUM(L18:Q18)</f>
        <v>0</v>
      </c>
      <c r="L18" s="4724"/>
      <c r="M18" s="4724"/>
      <c r="N18" s="4724"/>
      <c r="O18" s="4724"/>
      <c r="P18" s="4724"/>
      <c r="Q18" s="4705"/>
      <c r="R18" s="1258"/>
    </row>
    <row customHeight="1" ht="33.75">
      <c r="F19" s="1254" t="s">
        <v>2011</v>
      </c>
      <c r="G19" s="1261" t="s">
        <v>1052</v>
      </c>
      <c r="H19" s="1260">
        <f>SUM(I19:J19)</f>
        <v>0</v>
      </c>
      <c r="I19" s="1259"/>
      <c r="J19" s="1249"/>
      <c r="K19" s="4721">
        <f>SUM(L19:Q19)</f>
        <v>0</v>
      </c>
      <c r="L19" s="4724"/>
      <c r="M19" s="4724"/>
      <c r="N19" s="4724"/>
      <c r="O19" s="4724"/>
      <c r="P19" s="4724"/>
      <c r="Q19" s="4705"/>
      <c r="R19" s="1258"/>
    </row>
    <row customHeight="1" ht="45">
      <c r="F20" s="1254" t="s">
        <v>2012</v>
      </c>
      <c r="G20" s="1261" t="s">
        <v>1057</v>
      </c>
      <c r="H20" s="1260">
        <f>SUM(I20:J20)</f>
        <v>0</v>
      </c>
      <c r="I20" s="1259"/>
      <c r="J20" s="1249"/>
      <c r="K20" s="4721">
        <f>SUM(L20:Q20)</f>
        <v>0</v>
      </c>
      <c r="L20" s="4724"/>
      <c r="M20" s="4724"/>
      <c r="N20" s="4724"/>
      <c r="O20" s="4724"/>
      <c r="P20" s="4724"/>
      <c r="Q20" s="4705"/>
      <c r="R20" s="1258"/>
    </row>
    <row customHeight="1" ht="33.75">
      <c r="F21" s="1254" t="s">
        <v>2013</v>
      </c>
      <c r="G21" s="1261" t="s">
        <v>1063</v>
      </c>
      <c r="H21" s="1260">
        <f>SUM(I21:J21)</f>
        <v>0</v>
      </c>
      <c r="I21" s="1259"/>
      <c r="J21" s="1249"/>
      <c r="K21" s="4721">
        <f>SUM(L21:Q21)</f>
        <v>0</v>
      </c>
      <c r="L21" s="4724"/>
      <c r="M21" s="4724"/>
      <c r="N21" s="4724"/>
      <c r="O21" s="4724"/>
      <c r="P21" s="4724"/>
      <c r="Q21" s="4705"/>
      <c r="R21" s="1258"/>
    </row>
    <row customHeight="1" ht="33.75">
      <c r="F22" s="1254" t="s">
        <v>2014</v>
      </c>
      <c r="G22" s="1261" t="s">
        <v>1070</v>
      </c>
      <c r="H22" s="1260">
        <f>SUM(I22:J22)</f>
        <v>0</v>
      </c>
      <c r="I22" s="1259"/>
      <c r="J22" s="1249"/>
      <c r="K22" s="4721">
        <f>SUM(L22:Q22)</f>
        <v>0</v>
      </c>
      <c r="L22" s="4724"/>
      <c r="M22" s="4724"/>
      <c r="N22" s="4724"/>
      <c r="O22" s="4724"/>
      <c r="P22" s="4724"/>
      <c r="Q22" s="4705"/>
      <c r="R22" s="1258"/>
    </row>
    <row customHeight="1" ht="22.5">
      <c r="F23" s="1254" t="s">
        <v>2015</v>
      </c>
      <c r="G23" s="1261" t="s">
        <v>1075</v>
      </c>
      <c r="H23" s="1260">
        <f>SUM(I23:J23)</f>
        <v>0</v>
      </c>
      <c r="I23" s="1259"/>
      <c r="J23" s="1249"/>
      <c r="K23" s="4721">
        <f>SUM(L23:Q23)</f>
        <v>0</v>
      </c>
      <c r="L23" s="4724"/>
      <c r="M23" s="4724"/>
      <c r="N23" s="4724"/>
      <c r="O23" s="4724"/>
      <c r="P23" s="4724"/>
      <c r="Q23" s="4705"/>
      <c r="R23" s="1258"/>
    </row>
    <row customHeight="1" ht="22.5">
      <c r="F24" s="1254" t="s">
        <v>2016</v>
      </c>
      <c r="G24" s="1261" t="s">
        <v>1048</v>
      </c>
      <c r="H24" s="1260">
        <f>SUM(I24:J24)</f>
        <v>0</v>
      </c>
      <c r="I24" s="1259"/>
      <c r="J24" s="1249"/>
      <c r="K24" s="4721">
        <f>SUM(L24:Q24)</f>
        <v>0</v>
      </c>
      <c r="L24" s="4724"/>
      <c r="M24" s="4724"/>
      <c r="N24" s="4724"/>
      <c r="O24" s="4724"/>
      <c r="P24" s="4724"/>
      <c r="Q24" s="4705"/>
      <c r="R24" s="1258"/>
    </row>
    <row customHeight="1" ht="33.75">
      <c r="F25" s="1254" t="s">
        <v>2017</v>
      </c>
      <c r="G25" s="1261" t="s">
        <v>1114</v>
      </c>
      <c r="H25" s="1260">
        <f>SUM(I25:J25)</f>
        <v>0</v>
      </c>
      <c r="I25" s="1259"/>
      <c r="J25" s="1249"/>
      <c r="K25" s="4721">
        <f>SUM(L25:Q25)</f>
        <v>0</v>
      </c>
      <c r="L25" s="4724"/>
      <c r="M25" s="4724"/>
      <c r="N25" s="4724"/>
      <c r="O25" s="4724"/>
      <c r="P25" s="4724"/>
      <c r="Q25" s="4705"/>
      <c r="R25" s="1258"/>
    </row>
    <row customHeight="1" ht="33.75">
      <c r="F26" s="1254" t="s">
        <v>2018</v>
      </c>
      <c r="G26" s="1261" t="s">
        <v>1116</v>
      </c>
      <c r="H26" s="1260">
        <f>SUM(I26:J26)</f>
        <v>0</v>
      </c>
      <c r="I26" s="1259"/>
      <c r="J26" s="1249"/>
      <c r="K26" s="4721">
        <f>SUM(L26:Q26)</f>
        <v>0</v>
      </c>
      <c r="L26" s="4724"/>
      <c r="M26" s="4724"/>
      <c r="N26" s="4724"/>
      <c r="O26" s="4724"/>
      <c r="P26" s="4724"/>
      <c r="Q26" s="4705"/>
      <c r="R26" s="1258"/>
    </row>
    <row customHeight="1" ht="11.25">
      <c r="F27" s="1254" t="s">
        <v>2019</v>
      </c>
      <c r="G27" s="1261" t="s">
        <v>1026</v>
      </c>
      <c r="H27" s="1260">
        <f>SUM(I27:J27)</f>
        <v>0</v>
      </c>
      <c r="I27" s="1259"/>
      <c r="J27" s="1249"/>
      <c r="K27" s="4721">
        <f>SUM(L27:Q27)</f>
        <v>0</v>
      </c>
      <c r="L27" s="4724"/>
      <c r="M27" s="4724"/>
      <c r="N27" s="4724"/>
      <c r="O27" s="4724"/>
      <c r="P27" s="4724"/>
      <c r="Q27" s="4705"/>
      <c r="R27" s="1258"/>
    </row>
    <row customHeight="1" ht="11.25">
      <c r="F28" s="1254">
        <v>2</v>
      </c>
      <c r="G28" s="698" t="s">
        <v>2020</v>
      </c>
      <c r="H28" s="1260">
        <f>SUM(I28:J28)</f>
        <v>0</v>
      </c>
      <c r="I28" s="1260">
        <f>SUM(I29:I31)</f>
        <v>0</v>
      </c>
      <c r="J28" s="1249"/>
      <c r="K28" s="4721">
        <f>SUM(L28:Q28)</f>
        <v>0</v>
      </c>
      <c r="L28" s="4721">
        <f>SUM(L29:L31)</f>
        <v>0</v>
      </c>
      <c r="M28" s="4721">
        <f>SUM(M29:M31)</f>
        <v>0</v>
      </c>
      <c r="N28" s="4721">
        <f>SUM(N29:N31)</f>
        <v>0</v>
      </c>
      <c r="O28" s="4721">
        <f>SUM(O29:O31)</f>
        <v>0</v>
      </c>
      <c r="P28" s="4721">
        <f>SUM(P29:P31)</f>
        <v>0</v>
      </c>
      <c r="Q28" s="4705"/>
      <c r="R28" s="1258"/>
    </row>
    <row customHeight="1" ht="11.25">
      <c r="F29" s="1254" t="s">
        <v>456</v>
      </c>
      <c r="G29" s="1261" t="s">
        <v>2021</v>
      </c>
      <c r="H29" s="1260">
        <f>SUM(I29:J29)</f>
        <v>0</v>
      </c>
      <c r="I29" s="1259"/>
      <c r="J29" s="1249"/>
      <c r="K29" s="4721">
        <f>SUM(L29:Q29)</f>
        <v>0</v>
      </c>
      <c r="L29" s="4724"/>
      <c r="M29" s="4724"/>
      <c r="N29" s="4724"/>
      <c r="O29" s="4724"/>
      <c r="P29" s="4724"/>
      <c r="Q29" s="4705"/>
      <c r="R29" s="1258"/>
    </row>
    <row customHeight="1" ht="11.25">
      <c r="F30" s="1254" t="s">
        <v>300</v>
      </c>
      <c r="G30" s="1261" t="s">
        <v>1023</v>
      </c>
      <c r="H30" s="1260">
        <f>SUM(I30:J30)</f>
        <v>0</v>
      </c>
      <c r="I30" s="1259"/>
      <c r="J30" s="1249"/>
      <c r="K30" s="4721">
        <f>SUM(L30:Q30)</f>
        <v>0</v>
      </c>
      <c r="L30" s="4724"/>
      <c r="M30" s="4724"/>
      <c r="N30" s="4724"/>
      <c r="O30" s="4724"/>
      <c r="P30" s="4724"/>
      <c r="Q30" s="4705"/>
      <c r="R30" s="1258"/>
    </row>
    <row customHeight="1" ht="11.25">
      <c r="F31" s="1254" t="s">
        <v>303</v>
      </c>
      <c r="G31" s="1261" t="s">
        <v>1069</v>
      </c>
      <c r="H31" s="1260">
        <f>SUM(I31:J31)</f>
        <v>0</v>
      </c>
      <c r="I31" s="1259"/>
      <c r="J31" s="1249"/>
      <c r="K31" s="4721">
        <f>SUM(L31:Q31)</f>
        <v>0</v>
      </c>
      <c r="L31" s="4724"/>
      <c r="M31" s="4724"/>
      <c r="N31" s="4724"/>
      <c r="O31" s="4724"/>
      <c r="P31" s="4724"/>
      <c r="Q31" s="4705"/>
      <c r="R31" s="1258"/>
    </row>
    <row customHeight="1" ht="11.25">
      <c r="F32" s="1254">
        <v>3</v>
      </c>
      <c r="G32" s="698" t="s">
        <v>2022</v>
      </c>
      <c r="H32" s="1260">
        <f>SUM(I32:J32)</f>
        <v>0</v>
      </c>
      <c r="I32" s="1260">
        <f>SUM(I33:I34)</f>
        <v>0</v>
      </c>
      <c r="J32" s="1249"/>
      <c r="K32" s="4721">
        <f>SUM(L32:Q32)</f>
        <v>0</v>
      </c>
      <c r="L32" s="4721">
        <f>SUM(L33:L34)</f>
        <v>0</v>
      </c>
      <c r="M32" s="4721">
        <f>SUM(M33:M34)</f>
        <v>0</v>
      </c>
      <c r="N32" s="4721">
        <f>SUM(N33:N34)</f>
        <v>0</v>
      </c>
      <c r="O32" s="4721">
        <f>SUM(O33:O34)</f>
        <v>0</v>
      </c>
      <c r="P32" s="4721">
        <f>SUM(P33:P34)</f>
        <v>0</v>
      </c>
      <c r="Q32" s="4705"/>
      <c r="R32" s="1258"/>
    </row>
    <row customHeight="1" ht="33.75">
      <c r="F33" s="1254" t="s">
        <v>319</v>
      </c>
      <c r="G33" s="1261" t="s">
        <v>2023</v>
      </c>
      <c r="H33" s="1260">
        <f>SUM(I33:J33)</f>
        <v>0</v>
      </c>
      <c r="I33" s="1259"/>
      <c r="J33" s="1249"/>
      <c r="K33" s="4721">
        <f>SUM(L33:Q33)</f>
        <v>0</v>
      </c>
      <c r="L33" s="4724"/>
      <c r="M33" s="4724"/>
      <c r="N33" s="4724"/>
      <c r="O33" s="4724"/>
      <c r="P33" s="4724"/>
      <c r="Q33" s="4705"/>
      <c r="R33" s="1258"/>
    </row>
    <row customHeight="1" ht="11.25">
      <c r="F34" s="1254" t="s">
        <v>327</v>
      </c>
      <c r="G34" s="1261" t="s">
        <v>2024</v>
      </c>
      <c r="H34" s="1260">
        <f>SUM(I34:J34)</f>
        <v>0</v>
      </c>
      <c r="I34" s="1259"/>
      <c r="J34" s="1249"/>
      <c r="K34" s="4721">
        <f>SUM(L34:Q34)</f>
        <v>0</v>
      </c>
      <c r="L34" s="4724"/>
      <c r="M34" s="4724"/>
      <c r="N34" s="4724"/>
      <c r="O34" s="4724"/>
      <c r="P34" s="4724"/>
      <c r="Q34" s="4705"/>
      <c r="R34" s="1258"/>
    </row>
    <row customHeight="1" ht="11.25">
      <c r="F35" s="1254">
        <v>4</v>
      </c>
      <c r="G35" s="698" t="s">
        <v>2025</v>
      </c>
      <c r="H35" s="1260">
        <f>SUM(I35:J35)</f>
        <v>0</v>
      </c>
      <c r="I35" s="1259"/>
      <c r="J35" s="1249"/>
      <c r="K35" s="4721">
        <f>SUM(L35:Q35)</f>
        <v>0</v>
      </c>
      <c r="L35" s="4724"/>
      <c r="M35" s="4724"/>
      <c r="N35" s="4724"/>
      <c r="O35" s="4724"/>
      <c r="P35" s="4724"/>
      <c r="Q35" s="4705"/>
      <c r="R35" s="1258"/>
    </row>
    <row customHeight="1" ht="11.25">
      <c r="F36" s="1254"/>
      <c r="G36" s="701" t="s">
        <v>2026</v>
      </c>
      <c r="H36" s="1260">
        <f>SUM(I36:J36)</f>
        <v>0</v>
      </c>
      <c r="I36" s="1260">
        <f>SUM(I15,I28,I32,I35)</f>
        <v>0</v>
      </c>
      <c r="J36" s="1249"/>
      <c r="K36" s="4721">
        <f>SUM(L36:Q36)</f>
        <v>0</v>
      </c>
      <c r="L36" s="4721">
        <f>SUM(L15,L28,L32,L35)</f>
        <v>0</v>
      </c>
      <c r="M36" s="4721">
        <f>SUM(M15,M28,M32,M35)</f>
        <v>0</v>
      </c>
      <c r="N36" s="4721">
        <f>SUM(N15,N28,N32,N35)</f>
        <v>0</v>
      </c>
      <c r="O36" s="4721">
        <f>SUM(O15,O28,O32,O35)</f>
        <v>0</v>
      </c>
      <c r="P36" s="4721">
        <f>SUM(P15,P28,P32,P35)</f>
        <v>0</v>
      </c>
      <c r="Q36" s="4705"/>
      <c r="R36" s="1258"/>
    </row>
    <row customHeight="1" ht="27.75">
      <c r="F37" s="1255" t="s">
        <v>1205</v>
      </c>
      <c r="G37" s="2370" t="s">
        <v>2027</v>
      </c>
      <c r="H37" s="2370"/>
      <c r="I37" s="2370"/>
      <c r="J37" s="2370"/>
      <c r="K37" s="4727"/>
      <c r="L37" s="4727"/>
      <c r="M37" s="4727"/>
      <c r="N37" s="4727"/>
      <c r="O37" s="4727"/>
      <c r="P37" s="4727"/>
      <c r="Q37" s="4727"/>
      <c r="R37" s="1258"/>
    </row>
    <row customHeight="1" ht="22.5">
      <c r="F38" s="1254" t="s">
        <v>109</v>
      </c>
      <c r="G38" s="698" t="s">
        <v>2028</v>
      </c>
      <c r="H38" s="1260">
        <f>SUM(I38:J38)</f>
        <v>0</v>
      </c>
      <c r="I38" s="1260">
        <f>SUM(I39,I44,I47)</f>
        <v>0</v>
      </c>
      <c r="J38" s="1249"/>
      <c r="K38" s="4721">
        <f>SUM(L38:Q38)</f>
        <v>0</v>
      </c>
      <c r="L38" s="4721">
        <f>SUM(L39,L44,L47)</f>
        <v>0</v>
      </c>
      <c r="M38" s="4721">
        <f>SUM(M39,M44,M47)</f>
        <v>0</v>
      </c>
      <c r="N38" s="4721">
        <f>SUM(N39,N44,N47)</f>
        <v>0</v>
      </c>
      <c r="O38" s="4721">
        <f>SUM(O39,O44,O47)</f>
        <v>0</v>
      </c>
      <c r="P38" s="4721">
        <f>SUM(P39,P44,P47)</f>
        <v>0</v>
      </c>
      <c r="Q38" s="4705"/>
      <c r="R38" s="1258"/>
    </row>
    <row customHeight="1" ht="11.25">
      <c r="F39" s="1254" t="s">
        <v>431</v>
      </c>
      <c r="G39" s="1261" t="s">
        <v>2010</v>
      </c>
      <c r="H39" s="1260">
        <f>SUM(I39:J39)</f>
        <v>0</v>
      </c>
      <c r="I39" s="1260">
        <f>SUM(I40:I43)</f>
        <v>0</v>
      </c>
      <c r="J39" s="1249"/>
      <c r="K39" s="4721">
        <f>SUM(L39:Q39)</f>
        <v>0</v>
      </c>
      <c r="L39" s="4721">
        <f>SUM(L40:L43)</f>
        <v>0</v>
      </c>
      <c r="M39" s="4721">
        <f>SUM(M40:M43)</f>
        <v>0</v>
      </c>
      <c r="N39" s="4721">
        <f>SUM(N40:N43)</f>
        <v>0</v>
      </c>
      <c r="O39" s="4721">
        <f>SUM(O40:O43)</f>
        <v>0</v>
      </c>
      <c r="P39" s="4721">
        <f>SUM(P40:P43)</f>
        <v>0</v>
      </c>
      <c r="Q39" s="4705"/>
      <c r="R39" s="1258"/>
    </row>
    <row customHeight="1" ht="22.5">
      <c r="F40" s="1254" t="s">
        <v>444</v>
      </c>
      <c r="G40" s="1262" t="s">
        <v>2029</v>
      </c>
      <c r="H40" s="1260">
        <f>SUM(I40:J40)</f>
        <v>0</v>
      </c>
      <c r="I40" s="1259"/>
      <c r="J40" s="1249"/>
      <c r="K40" s="4721">
        <f>SUM(L40:Q40)</f>
        <v>0</v>
      </c>
      <c r="L40" s="4724"/>
      <c r="M40" s="4724"/>
      <c r="N40" s="4724"/>
      <c r="O40" s="4724"/>
      <c r="P40" s="4724"/>
      <c r="Q40" s="4705"/>
      <c r="R40" s="1258"/>
    </row>
    <row customHeight="1" ht="11.25">
      <c r="F41" s="1254" t="s">
        <v>2030</v>
      </c>
      <c r="G41" s="1262" t="s">
        <v>1015</v>
      </c>
      <c r="H41" s="1260">
        <f>SUM(I41:J41)</f>
        <v>0</v>
      </c>
      <c r="I41" s="1259"/>
      <c r="J41" s="1249"/>
      <c r="K41" s="4721">
        <f>SUM(L41:Q41)</f>
        <v>0</v>
      </c>
      <c r="L41" s="4724"/>
      <c r="M41" s="4724"/>
      <c r="N41" s="4724"/>
      <c r="O41" s="4724"/>
      <c r="P41" s="4724"/>
      <c r="Q41" s="4705"/>
      <c r="R41" s="1258"/>
    </row>
    <row customHeight="1" ht="11.25">
      <c r="F42" s="1254" t="s">
        <v>2031</v>
      </c>
      <c r="G42" s="1262" t="s">
        <v>2032</v>
      </c>
      <c r="H42" s="1260">
        <f>SUM(I42:J42)</f>
        <v>0</v>
      </c>
      <c r="I42" s="1259"/>
      <c r="J42" s="1249"/>
      <c r="K42" s="4721">
        <f>SUM(L42:Q42)</f>
        <v>0</v>
      </c>
      <c r="L42" s="4724"/>
      <c r="M42" s="4724"/>
      <c r="N42" s="4724"/>
      <c r="O42" s="4724"/>
      <c r="P42" s="4724"/>
      <c r="Q42" s="4705"/>
      <c r="R42" s="1258"/>
    </row>
    <row customHeight="1" ht="33.75">
      <c r="F43" s="1254" t="s">
        <v>2033</v>
      </c>
      <c r="G43" s="1262" t="s">
        <v>2034</v>
      </c>
      <c r="H43" s="1260">
        <f>SUM(I43:J43)</f>
        <v>0</v>
      </c>
      <c r="I43" s="1259"/>
      <c r="J43" s="1249"/>
      <c r="K43" s="4721">
        <f>SUM(L43:Q43)</f>
        <v>0</v>
      </c>
      <c r="L43" s="4724"/>
      <c r="M43" s="4724"/>
      <c r="N43" s="4724"/>
      <c r="O43" s="4724"/>
      <c r="P43" s="4724"/>
      <c r="Q43" s="4705"/>
      <c r="R43" s="1258"/>
    </row>
    <row customHeight="1" ht="11.25">
      <c r="F44" s="1254" t="s">
        <v>446</v>
      </c>
      <c r="G44" s="1261" t="s">
        <v>2022</v>
      </c>
      <c r="H44" s="1260">
        <f>SUM(I44:J44)</f>
        <v>0</v>
      </c>
      <c r="I44" s="1260">
        <f>SUM(I45:I46)</f>
        <v>0</v>
      </c>
      <c r="J44" s="1249"/>
      <c r="K44" s="4721">
        <f>SUM(L44:Q44)</f>
        <v>0</v>
      </c>
      <c r="L44" s="4721">
        <f>SUM(L45:L46)</f>
        <v>0</v>
      </c>
      <c r="M44" s="4721">
        <f>SUM(M45:M46)</f>
        <v>0</v>
      </c>
      <c r="N44" s="4721">
        <f>SUM(N45:N46)</f>
        <v>0</v>
      </c>
      <c r="O44" s="4721">
        <f>SUM(O45:O46)</f>
        <v>0</v>
      </c>
      <c r="P44" s="4721">
        <f>SUM(P45:P46)</f>
        <v>0</v>
      </c>
      <c r="Q44" s="4705"/>
      <c r="R44" s="1258"/>
    </row>
    <row customHeight="1" ht="45">
      <c r="F45" s="1254" t="s">
        <v>447</v>
      </c>
      <c r="G45" s="1262" t="s">
        <v>2023</v>
      </c>
      <c r="H45" s="1260">
        <f>SUM(I45:J45)</f>
        <v>0</v>
      </c>
      <c r="I45" s="1259"/>
      <c r="J45" s="1249"/>
      <c r="K45" s="4721">
        <f>SUM(L45:Q45)</f>
        <v>0</v>
      </c>
      <c r="L45" s="4724"/>
      <c r="M45" s="4724"/>
      <c r="N45" s="4724"/>
      <c r="O45" s="4724"/>
      <c r="P45" s="4724"/>
      <c r="Q45" s="4705"/>
      <c r="R45" s="1258"/>
    </row>
    <row customHeight="1" ht="11.25">
      <c r="F46" s="1254" t="s">
        <v>2035</v>
      </c>
      <c r="G46" s="1262" t="s">
        <v>2024</v>
      </c>
      <c r="H46" s="1260">
        <f>SUM(I46:J46)</f>
        <v>0</v>
      </c>
      <c r="I46" s="1259"/>
      <c r="J46" s="1249"/>
      <c r="K46" s="4721">
        <f>SUM(L46:Q46)</f>
        <v>0</v>
      </c>
      <c r="L46" s="4724"/>
      <c r="M46" s="4724"/>
      <c r="N46" s="4724"/>
      <c r="O46" s="4724"/>
      <c r="P46" s="4724"/>
      <c r="Q46" s="4705"/>
      <c r="R46" s="1258"/>
    </row>
    <row customHeight="1" ht="11.25">
      <c r="F47" s="1254" t="s">
        <v>449</v>
      </c>
      <c r="G47" s="1261" t="s">
        <v>2036</v>
      </c>
      <c r="H47" s="1260">
        <f>SUM(I47:J47)</f>
        <v>0</v>
      </c>
      <c r="I47" s="1259"/>
      <c r="J47" s="1249"/>
      <c r="K47" s="4721">
        <f>SUM(L47:Q47)</f>
        <v>0</v>
      </c>
      <c r="L47" s="4724"/>
      <c r="M47" s="4724"/>
      <c r="N47" s="4724"/>
      <c r="O47" s="4724"/>
      <c r="P47" s="4724"/>
      <c r="Q47" s="4705"/>
      <c r="R47" s="1258"/>
    </row>
    <row customHeight="1" ht="22.5">
      <c r="F48" s="1254" t="s">
        <v>110</v>
      </c>
      <c r="G48" s="698" t="s">
        <v>2037</v>
      </c>
      <c r="H48" s="1260">
        <f>SUM(I48:J48)</f>
        <v>0</v>
      </c>
      <c r="I48" s="1260">
        <f>SUM(I49,I54,I57)</f>
        <v>0</v>
      </c>
      <c r="J48" s="1249"/>
      <c r="K48" s="4721">
        <f>SUM(L48:Q48)</f>
        <v>0</v>
      </c>
      <c r="L48" s="4721">
        <f>SUM(L49,L54,L57)</f>
        <v>0</v>
      </c>
      <c r="M48" s="4721">
        <f>SUM(M49,M54,M57)</f>
        <v>0</v>
      </c>
      <c r="N48" s="4721">
        <f>SUM(N49,N54,N57)</f>
        <v>0</v>
      </c>
      <c r="O48" s="4721">
        <f>SUM(O49,O54,O57)</f>
        <v>0</v>
      </c>
      <c r="P48" s="4721">
        <f>SUM(P49,P54,P57)</f>
        <v>0</v>
      </c>
      <c r="Q48" s="4705"/>
      <c r="R48" s="1258"/>
    </row>
    <row customHeight="1" ht="11.25">
      <c r="F49" s="1254" t="s">
        <v>456</v>
      </c>
      <c r="G49" s="1261" t="s">
        <v>2010</v>
      </c>
      <c r="H49" s="1260">
        <f>SUM(I49:J49)</f>
        <v>0</v>
      </c>
      <c r="I49" s="1260">
        <f>SUM(I50:I53)</f>
        <v>0</v>
      </c>
      <c r="J49" s="1249"/>
      <c r="K49" s="4721">
        <f>SUM(L49:Q49)</f>
        <v>0</v>
      </c>
      <c r="L49" s="4721">
        <f>SUM(L50:L53)</f>
        <v>0</v>
      </c>
      <c r="M49" s="4721">
        <f>SUM(M50:M53)</f>
        <v>0</v>
      </c>
      <c r="N49" s="4721">
        <f>SUM(N50:N53)</f>
        <v>0</v>
      </c>
      <c r="O49" s="4721">
        <f>SUM(O50:O53)</f>
        <v>0</v>
      </c>
      <c r="P49" s="4721">
        <f>SUM(P50:P53)</f>
        <v>0</v>
      </c>
      <c r="Q49" s="4705"/>
      <c r="R49" s="1258"/>
    </row>
    <row customHeight="1" ht="22.5">
      <c r="F50" s="1254" t="s">
        <v>458</v>
      </c>
      <c r="G50" s="1262" t="s">
        <v>2029</v>
      </c>
      <c r="H50" s="1260">
        <f>SUM(I50:J50)</f>
        <v>0</v>
      </c>
      <c r="I50" s="1259"/>
      <c r="J50" s="1249"/>
      <c r="K50" s="4721">
        <f>SUM(L50:Q50)</f>
        <v>0</v>
      </c>
      <c r="L50" s="4724"/>
      <c r="M50" s="4724"/>
      <c r="N50" s="4724"/>
      <c r="O50" s="4724"/>
      <c r="P50" s="4724"/>
      <c r="Q50" s="4705"/>
      <c r="R50" s="1258"/>
    </row>
    <row customHeight="1" ht="11.25">
      <c r="F51" s="1254" t="s">
        <v>1768</v>
      </c>
      <c r="G51" s="1262" t="s">
        <v>1015</v>
      </c>
      <c r="H51" s="1260">
        <f>SUM(I51:J51)</f>
        <v>0</v>
      </c>
      <c r="I51" s="1259"/>
      <c r="J51" s="1249"/>
      <c r="K51" s="4721">
        <f>SUM(L51:Q51)</f>
        <v>0</v>
      </c>
      <c r="L51" s="4724"/>
      <c r="M51" s="4724"/>
      <c r="N51" s="4724"/>
      <c r="O51" s="4724"/>
      <c r="P51" s="4724"/>
      <c r="Q51" s="4705"/>
      <c r="R51" s="1258"/>
    </row>
    <row customHeight="1" ht="11.25">
      <c r="F52" s="1254" t="s">
        <v>2038</v>
      </c>
      <c r="G52" s="1262" t="s">
        <v>2032</v>
      </c>
      <c r="H52" s="1260">
        <f>SUM(I52:J52)</f>
        <v>0</v>
      </c>
      <c r="I52" s="1259"/>
      <c r="J52" s="1249"/>
      <c r="K52" s="4721">
        <f>SUM(L52:Q52)</f>
        <v>0</v>
      </c>
      <c r="L52" s="4724"/>
      <c r="M52" s="4724"/>
      <c r="N52" s="4724"/>
      <c r="O52" s="4724"/>
      <c r="P52" s="4724"/>
      <c r="Q52" s="4705"/>
      <c r="R52" s="1258"/>
    </row>
    <row customHeight="1" ht="33.75">
      <c r="F53" s="1254" t="s">
        <v>2039</v>
      </c>
      <c r="G53" s="1262" t="s">
        <v>2034</v>
      </c>
      <c r="H53" s="1260">
        <f>SUM(I53:J53)</f>
        <v>0</v>
      </c>
      <c r="I53" s="1259"/>
      <c r="J53" s="1249"/>
      <c r="K53" s="4721">
        <f>SUM(L53:Q53)</f>
        <v>0</v>
      </c>
      <c r="L53" s="4724"/>
      <c r="M53" s="4724"/>
      <c r="N53" s="4724"/>
      <c r="O53" s="4724"/>
      <c r="P53" s="4724"/>
      <c r="Q53" s="4705"/>
      <c r="R53" s="1258"/>
    </row>
    <row customHeight="1" ht="11.25">
      <c r="F54" s="1254" t="s">
        <v>300</v>
      </c>
      <c r="G54" s="1261" t="s">
        <v>2022</v>
      </c>
      <c r="H54" s="1260">
        <f>SUM(I54:J54)</f>
        <v>0</v>
      </c>
      <c r="I54" s="1260">
        <f>SUM(I55:I56)</f>
        <v>0</v>
      </c>
      <c r="J54" s="1249"/>
      <c r="K54" s="4721">
        <f>SUM(L54:Q54)</f>
        <v>0</v>
      </c>
      <c r="L54" s="4721">
        <f>SUM(L55:L56)</f>
        <v>0</v>
      </c>
      <c r="M54" s="4721">
        <f>SUM(M55:M56)</f>
        <v>0</v>
      </c>
      <c r="N54" s="4721">
        <f>SUM(N55:N56)</f>
        <v>0</v>
      </c>
      <c r="O54" s="4721">
        <f>SUM(O55:O56)</f>
        <v>0</v>
      </c>
      <c r="P54" s="4721">
        <f>SUM(P55:P56)</f>
        <v>0</v>
      </c>
      <c r="Q54" s="4705"/>
      <c r="R54" s="1258"/>
    </row>
    <row customHeight="1" ht="45">
      <c r="F55" s="1254" t="s">
        <v>1373</v>
      </c>
      <c r="G55" s="1262" t="s">
        <v>2023</v>
      </c>
      <c r="H55" s="1260">
        <f>SUM(I55:J55)</f>
        <v>0</v>
      </c>
      <c r="I55" s="1259"/>
      <c r="J55" s="1249"/>
      <c r="K55" s="4721">
        <f>SUM(L55:Q55)</f>
        <v>0</v>
      </c>
      <c r="L55" s="4724"/>
      <c r="M55" s="4724"/>
      <c r="N55" s="4724"/>
      <c r="O55" s="4724"/>
      <c r="P55" s="4724"/>
      <c r="Q55" s="4705"/>
      <c r="R55" s="1258"/>
    </row>
    <row customHeight="1" ht="11.25">
      <c r="F56" s="1254" t="s">
        <v>1378</v>
      </c>
      <c r="G56" s="1262" t="s">
        <v>2024</v>
      </c>
      <c r="H56" s="1260">
        <f>SUM(I56:J56)</f>
        <v>0</v>
      </c>
      <c r="I56" s="1259"/>
      <c r="J56" s="1249"/>
      <c r="K56" s="4721">
        <f>SUM(L56:Q56)</f>
        <v>0</v>
      </c>
      <c r="L56" s="4724"/>
      <c r="M56" s="4724"/>
      <c r="N56" s="4724"/>
      <c r="O56" s="4724"/>
      <c r="P56" s="4724"/>
      <c r="Q56" s="4705"/>
      <c r="R56" s="1258"/>
    </row>
    <row customHeight="1" ht="11.25">
      <c r="F57" s="1254" t="s">
        <v>303</v>
      </c>
      <c r="G57" s="1261" t="s">
        <v>2036</v>
      </c>
      <c r="H57" s="1260">
        <f>SUM(I57:J57)</f>
        <v>0</v>
      </c>
      <c r="I57" s="1259"/>
      <c r="J57" s="1249"/>
      <c r="K57" s="4721">
        <f>SUM(L57:Q57)</f>
        <v>0</v>
      </c>
      <c r="L57" s="4724"/>
      <c r="M57" s="4724"/>
      <c r="N57" s="4724"/>
      <c r="O57" s="4724"/>
      <c r="P57" s="4724"/>
      <c r="Q57" s="4705"/>
      <c r="R57" s="1258"/>
    </row>
    <row customHeight="1" ht="11.25">
      <c r="F58" s="1254"/>
      <c r="G58" s="1263" t="s">
        <v>2026</v>
      </c>
      <c r="H58" s="1260">
        <f>SUM(I58:J58)</f>
        <v>0</v>
      </c>
      <c r="I58" s="1260">
        <f>SUM(I38,I48)</f>
        <v>0</v>
      </c>
      <c r="J58" s="1249"/>
      <c r="K58" s="4721">
        <f>SUM(L58:Q58)</f>
        <v>0</v>
      </c>
      <c r="L58" s="4721">
        <f>SUM(L38,L48)</f>
        <v>0</v>
      </c>
      <c r="M58" s="4721">
        <f>SUM(M38,M48)</f>
        <v>0</v>
      </c>
      <c r="N58" s="4721">
        <f>SUM(N38,N48)</f>
        <v>0</v>
      </c>
      <c r="O58" s="4721">
        <f>SUM(O38,O48)</f>
        <v>0</v>
      </c>
      <c r="P58" s="4721">
        <f>SUM(P38,P48)</f>
        <v>0</v>
      </c>
      <c r="Q58" s="4705"/>
      <c r="R58" s="1258"/>
    </row>
  </sheetData>
  <sheetProtection formatColumns="0" formatRows="0" autoFilter="0" sort="0" insertRows="0" insertColumns="1" deleteRows="0" deleteColumns="0"/>
  <mergeCells count="11">
    <mergeCell ref="F5:J5"/>
    <mergeCell ref="F6:J6"/>
    <mergeCell ref="F9:J9"/>
    <mergeCell ref="G14:J14"/>
    <mergeCell ref="G37:J37"/>
    <mergeCell ref="F10:F12"/>
    <mergeCell ref="H10:J10"/>
    <mergeCell ref="H11:J11"/>
    <mergeCell ref="G10:G12"/>
    <mergeCell ref="K10:Q10"/>
    <mergeCell ref="K11:Q11"/>
  </mergeCells>
  <dataValidations count="1">
    <dataValidation type="decimal" allowBlank="1" showErrorMessage="1" errorTitle="Ошибка" error="Допускается ввод только неотрицательных чисел!" sqref="I29:I31 I33:I35 I40:I43 I45:I47 I50:I53 I55:I57 I16:I27 L16:P16 L17:P17 L18:P18 L19:P19 L20:P20 L21:P21 L22:P22 L23:P23 L24:P24 L25:P25 L26:P26 L27:P27 L29:P29 L30:P30 L31:P31 L33:P33 L34:P34 L35:P35 L40:P40 L41:P41 L42:P42 L43:P43 L45:P45 L46:P46 L47:P47 L50:P50 L51:P51 L52:P52 L53:P53 L55:P55 L56:P56 L57:P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B9CAFE-2776-B415-1AC8-CFA4DD0A8C01}" mc:Ignorable="x14ac xr xr2 xr3">
  <sheetPr>
    <tabColor theme="9" tint="-0.25"/>
  </sheetPr>
  <dimension ref="A1:GB27"/>
  <sheetViews>
    <sheetView topLeftCell="A1" showGridLines="0" zoomScale="90" workbookViewId="0">
      <selection activeCell="DH22" sqref="DH22"/>
    </sheetView>
  </sheetViews>
  <sheetFormatPr defaultColWidth="9.140625" customHeight="1" defaultRowHeight="12"/>
  <cols>
    <col min="1" max="1" style="4983" width="4.7109375" hidden="1" customWidth="1"/>
    <col min="2" max="2" style="4984" width="4.7109375" hidden="1" customWidth="1"/>
    <col min="3" max="4" style="4983" width="4.7109375" hidden="1" customWidth="1"/>
    <col min="5" max="5" style="4983" width="3.57421875" customWidth="1"/>
    <col min="6" max="6" style="4983" width="6.7109375" customWidth="1"/>
    <col min="7" max="7" style="4983" width="18.7109375" customWidth="1"/>
    <col min="8" max="8" style="4983" width="27.28125" customWidth="1"/>
    <col min="9" max="9" style="4983" width="18.7109375" customWidth="1"/>
    <col min="10" max="14" style="4983" width="0.8515625" hidden="1" customWidth="1"/>
    <col min="15" max="28" style="4983" width="21.7109375" hidden="1" customWidth="1"/>
    <col min="29" max="71" style="4983" width="0.8515625" hidden="1" customWidth="1"/>
    <col min="72" max="79" style="4983" width="21.7109375" hidden="1" customWidth="1"/>
    <col min="80" max="81" style="4983" width="29.140625" hidden="1" customWidth="1"/>
    <col min="82" max="89" style="4983" width="21.7109375" hidden="1" customWidth="1"/>
    <col min="90" max="102" style="4983" width="0.7109375" hidden="1" customWidth="1"/>
    <col min="103" max="114" style="4983" width="21.7109375" customWidth="1"/>
    <col min="115" max="128" style="4983" width="0.7109375" customWidth="1"/>
    <col min="129" max="178" style="4983" width="0.7109375" hidden="1" customWidth="1"/>
    <col min="179" max="179" style="4983" width="0.140625" customWidth="1"/>
    <col min="180" max="184" style="4983" width="9.140625"/>
  </cols>
  <sheetData>
    <row s="3290" customFormat="1" customHeight="1" ht="12" hidden="1">
      <c r="B1" s="935"/>
      <c r="C1" s="936"/>
      <c r="D1" s="936"/>
    </row>
    <row s="3290"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290"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735"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водоотведения на 2023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735" customFormat="1" customHeight="1" ht="18">
      <c r="B6" s="956"/>
      <c r="E6" s="958"/>
      <c r="F6" s="2053" t="str">
        <f>IF(org=0,"Не определено",org)</f>
        <v>МУП "Уссурийск-Водоканал"</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738"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740" customFormat="1" customHeight="1" ht="11.25" hidden="1">
      <c r="B8" s="946"/>
      <c r="F8" s="1069"/>
      <c r="G8" s="773"/>
      <c r="H8" s="356"/>
      <c r="I8" s="356"/>
      <c r="J8" s="356"/>
      <c r="K8" s="356"/>
      <c r="L8" s="356"/>
      <c r="M8" s="1069"/>
      <c r="N8" s="1069"/>
      <c r="O8" s="2397" t="s">
        <v>2040</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2041</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740"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740" customFormat="1" customHeight="1" ht="11.25">
      <c r="B10" s="946"/>
      <c r="F10" s="2377" t="s">
        <v>293</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88</v>
      </c>
      <c r="G11" s="2042" t="s">
        <v>2042</v>
      </c>
      <c r="H11" s="2384" t="s">
        <v>2043</v>
      </c>
      <c r="I11" s="2384" t="s">
        <v>2044</v>
      </c>
      <c r="J11" s="2385"/>
      <c r="K11" s="2385"/>
      <c r="L11" s="2385"/>
      <c r="M11" s="2385"/>
      <c r="N11" s="2385"/>
      <c r="O11" s="2047" t="s">
        <v>2045</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2045</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2045</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2046</v>
      </c>
      <c r="P12" s="2047"/>
      <c r="Q12" s="2047"/>
      <c r="R12" s="2047"/>
      <c r="S12" s="2047" t="s">
        <v>2047</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2048</v>
      </c>
      <c r="BU12" s="2318"/>
      <c r="BV12" s="2318"/>
      <c r="BW12" s="2319"/>
      <c r="BX12" s="2317" t="s">
        <v>2049</v>
      </c>
      <c r="BY12" s="2318"/>
      <c r="BZ12" s="2318"/>
      <c r="CA12" s="2319"/>
      <c r="CB12" s="2317" t="s">
        <v>2050</v>
      </c>
      <c r="CC12" s="2319"/>
      <c r="CD12" s="2317" t="s">
        <v>2051</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2052</v>
      </c>
      <c r="CZ12" s="2318"/>
      <c r="DA12" s="2318"/>
      <c r="DB12" s="2318"/>
      <c r="DC12" s="2318"/>
      <c r="DD12" s="2319"/>
      <c r="DE12" s="2317" t="s">
        <v>2053</v>
      </c>
      <c r="DF12" s="2319"/>
      <c r="DG12" s="2317" t="s">
        <v>2051</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2054</v>
      </c>
      <c r="P13" s="2047"/>
      <c r="Q13" s="2047"/>
      <c r="R13" s="2047"/>
      <c r="S13" s="2261" t="s">
        <v>2055</v>
      </c>
      <c r="T13" s="2381"/>
      <c r="U13" s="1966" t="s">
        <v>2056</v>
      </c>
      <c r="V13" s="1966"/>
      <c r="W13" s="1966"/>
      <c r="X13" s="1966"/>
      <c r="Y13" s="1966" t="s">
        <v>2057</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2058</v>
      </c>
      <c r="BU13" s="2381"/>
      <c r="BV13" s="2261" t="s">
        <v>2059</v>
      </c>
      <c r="BW13" s="2381"/>
      <c r="BX13" s="2261" t="s">
        <v>2060</v>
      </c>
      <c r="BY13" s="2381"/>
      <c r="BZ13" s="2261" t="s">
        <v>2061</v>
      </c>
      <c r="CA13" s="2381"/>
      <c r="CB13" s="2261" t="s">
        <v>2062</v>
      </c>
      <c r="CC13" s="2381"/>
      <c r="CD13" s="2261" t="s">
        <v>2063</v>
      </c>
      <c r="CE13" s="2381"/>
      <c r="CF13" s="2261" t="s">
        <v>2064</v>
      </c>
      <c r="CG13" s="2381"/>
      <c r="CH13" s="2317" t="s">
        <v>2065</v>
      </c>
      <c r="CI13" s="2318"/>
      <c r="CJ13" s="2318"/>
      <c r="CK13" s="2319"/>
      <c r="CL13" s="2383"/>
      <c r="CM13" s="2380"/>
      <c r="CN13" s="2380"/>
      <c r="CO13" s="2380"/>
      <c r="CP13" s="2380"/>
      <c r="CQ13" s="2380"/>
      <c r="CR13" s="2380"/>
      <c r="CS13" s="2380"/>
      <c r="CT13" s="2380"/>
      <c r="CU13" s="2380"/>
      <c r="CV13" s="2380"/>
      <c r="CW13" s="2380"/>
      <c r="CX13" s="2400"/>
      <c r="CY13" s="2261" t="s">
        <v>2066</v>
      </c>
      <c r="CZ13" s="2381"/>
      <c r="DA13" s="2261" t="s">
        <v>2067</v>
      </c>
      <c r="DB13" s="2381"/>
      <c r="DC13" s="2261" t="s">
        <v>2068</v>
      </c>
      <c r="DD13" s="2381"/>
      <c r="DE13" s="2261" t="s">
        <v>2069</v>
      </c>
      <c r="DF13" s="2381"/>
      <c r="DG13" s="2317" t="s">
        <v>2070</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2071</v>
      </c>
      <c r="P14" s="2381"/>
      <c r="Q14" s="2261" t="s">
        <v>2072</v>
      </c>
      <c r="R14" s="2381"/>
      <c r="S14" s="2262"/>
      <c r="T14" s="2048"/>
      <c r="U14" s="2261" t="s">
        <v>1834</v>
      </c>
      <c r="V14" s="2381"/>
      <c r="W14" s="2261" t="s">
        <v>1837</v>
      </c>
      <c r="X14" s="2381"/>
      <c r="Y14" s="2261" t="s">
        <v>1834</v>
      </c>
      <c r="Z14" s="2381"/>
      <c r="AA14" s="2261" t="s">
        <v>1844</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2073</v>
      </c>
      <c r="CI14" s="2381"/>
      <c r="CJ14" s="2261" t="s">
        <v>2074</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2075</v>
      </c>
      <c r="DH14" s="2381"/>
      <c r="DI14" s="2261" t="s">
        <v>2076</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1824</v>
      </c>
      <c r="P16" s="2319"/>
      <c r="Q16" s="2317" t="s">
        <v>1826</v>
      </c>
      <c r="R16" s="2319"/>
      <c r="S16" s="2317" t="s">
        <v>1830</v>
      </c>
      <c r="T16" s="2319"/>
      <c r="U16" s="2317" t="s">
        <v>1835</v>
      </c>
      <c r="V16" s="2319"/>
      <c r="W16" s="2317" t="s">
        <v>1838</v>
      </c>
      <c r="X16" s="2319"/>
      <c r="Y16" s="2317" t="s">
        <v>1842</v>
      </c>
      <c r="Z16" s="2319"/>
      <c r="AA16" s="2317" t="s">
        <v>1845</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1634</v>
      </c>
      <c r="BU16" s="2319"/>
      <c r="BV16" s="2317" t="s">
        <v>1634</v>
      </c>
      <c r="BW16" s="2319"/>
      <c r="BX16" s="2317" t="s">
        <v>1634</v>
      </c>
      <c r="BY16" s="2319"/>
      <c r="BZ16" s="2317" t="s">
        <v>1634</v>
      </c>
      <c r="CA16" s="2319"/>
      <c r="CB16" s="2317" t="s">
        <v>2077</v>
      </c>
      <c r="CC16" s="2319"/>
      <c r="CD16" s="2317" t="s">
        <v>1634</v>
      </c>
      <c r="CE16" s="2319"/>
      <c r="CF16" s="2317" t="s">
        <v>2078</v>
      </c>
      <c r="CG16" s="2319"/>
      <c r="CH16" s="2317" t="s">
        <v>2079</v>
      </c>
      <c r="CI16" s="2319"/>
      <c r="CJ16" s="2317" t="s">
        <v>2079</v>
      </c>
      <c r="CK16" s="2319"/>
      <c r="CL16" s="2383"/>
      <c r="CM16" s="2380"/>
      <c r="CN16" s="2380"/>
      <c r="CO16" s="2380"/>
      <c r="CP16" s="2380"/>
      <c r="CQ16" s="2380"/>
      <c r="CR16" s="2380"/>
      <c r="CS16" s="2380"/>
      <c r="CT16" s="2380"/>
      <c r="CU16" s="2380"/>
      <c r="CV16" s="2380"/>
      <c r="CW16" s="2380"/>
      <c r="CX16" s="2400"/>
      <c r="CY16" s="2261" t="s">
        <v>1634</v>
      </c>
      <c r="CZ16" s="2381"/>
      <c r="DA16" s="2261" t="s">
        <v>1634</v>
      </c>
      <c r="DB16" s="2381"/>
      <c r="DC16" s="2261" t="s">
        <v>1634</v>
      </c>
      <c r="DD16" s="2381"/>
      <c r="DE16" s="2317" t="s">
        <v>2077</v>
      </c>
      <c r="DF16" s="2319"/>
      <c r="DG16" s="2317" t="s">
        <v>2080</v>
      </c>
      <c r="DH16" s="2319"/>
      <c r="DI16" s="2317" t="s">
        <v>2080</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2081</v>
      </c>
      <c r="P17" s="1207" t="s">
        <v>2082</v>
      </c>
      <c r="Q17" s="1207" t="s">
        <v>2081</v>
      </c>
      <c r="R17" s="1207" t="s">
        <v>2082</v>
      </c>
      <c r="S17" s="1207" t="s">
        <v>2081</v>
      </c>
      <c r="T17" s="1207" t="s">
        <v>2082</v>
      </c>
      <c r="U17" s="1207" t="s">
        <v>2081</v>
      </c>
      <c r="V17" s="1207" t="s">
        <v>2082</v>
      </c>
      <c r="W17" s="1207" t="s">
        <v>2081</v>
      </c>
      <c r="X17" s="1207" t="s">
        <v>2082</v>
      </c>
      <c r="Y17" s="1207" t="s">
        <v>2081</v>
      </c>
      <c r="Z17" s="1207" t="s">
        <v>2082</v>
      </c>
      <c r="AA17" s="1207" t="s">
        <v>2081</v>
      </c>
      <c r="AB17" s="1207" t="s">
        <v>2082</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2081</v>
      </c>
      <c r="BU17" s="1207" t="s">
        <v>2082</v>
      </c>
      <c r="BV17" s="1207" t="s">
        <v>2081</v>
      </c>
      <c r="BW17" s="1207" t="s">
        <v>2082</v>
      </c>
      <c r="BX17" s="1207" t="s">
        <v>2081</v>
      </c>
      <c r="BY17" s="1207" t="s">
        <v>2082</v>
      </c>
      <c r="BZ17" s="1207" t="s">
        <v>2081</v>
      </c>
      <c r="CA17" s="1207" t="s">
        <v>2082</v>
      </c>
      <c r="CB17" s="1207" t="s">
        <v>2081</v>
      </c>
      <c r="CC17" s="1207" t="s">
        <v>2082</v>
      </c>
      <c r="CD17" s="1207" t="s">
        <v>2081</v>
      </c>
      <c r="CE17" s="1207" t="s">
        <v>2082</v>
      </c>
      <c r="CF17" s="1207" t="s">
        <v>2081</v>
      </c>
      <c r="CG17" s="1207" t="s">
        <v>2082</v>
      </c>
      <c r="CH17" s="1207" t="s">
        <v>2081</v>
      </c>
      <c r="CI17" s="1207" t="s">
        <v>2082</v>
      </c>
      <c r="CJ17" s="1207" t="s">
        <v>2081</v>
      </c>
      <c r="CK17" s="1207" t="s">
        <v>2082</v>
      </c>
      <c r="CL17" s="2383"/>
      <c r="CM17" s="2380"/>
      <c r="CN17" s="2380"/>
      <c r="CO17" s="2380"/>
      <c r="CP17" s="2380"/>
      <c r="CQ17" s="2380"/>
      <c r="CR17" s="2380"/>
      <c r="CS17" s="2380"/>
      <c r="CT17" s="2380"/>
      <c r="CU17" s="2380"/>
      <c r="CV17" s="2380"/>
      <c r="CW17" s="2380"/>
      <c r="CX17" s="2400"/>
      <c r="CY17" s="1207" t="s">
        <v>2081</v>
      </c>
      <c r="CZ17" s="1207" t="s">
        <v>2082</v>
      </c>
      <c r="DA17" s="1207" t="s">
        <v>2081</v>
      </c>
      <c r="DB17" s="1207" t="s">
        <v>2082</v>
      </c>
      <c r="DC17" s="1207" t="s">
        <v>2081</v>
      </c>
      <c r="DD17" s="1207" t="s">
        <v>2082</v>
      </c>
      <c r="DE17" s="1207" t="s">
        <v>2081</v>
      </c>
      <c r="DF17" s="1207" t="s">
        <v>2082</v>
      </c>
      <c r="DG17" s="1207" t="s">
        <v>2081</v>
      </c>
      <c r="DH17" s="1207" t="s">
        <v>2082</v>
      </c>
      <c r="DI17" s="1207" t="s">
        <v>2081</v>
      </c>
      <c r="DJ17" s="1207" t="s">
        <v>2082</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292"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292"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290" customFormat="1" customHeight="1" ht="11.25" hidden="1">
      <c r="B20" s="952"/>
      <c r="D20" s="936"/>
      <c r="E20" s="951"/>
      <c r="F20" s="1213" t="s">
        <v>371</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4782" customFormat="1" customHeight="1" ht="21">
      <c r="A21" s="4783" t="s">
        <v>1962</v>
      </c>
      <c r="B21" s="4784"/>
      <c r="C21" s="4785"/>
      <c r="D21" s="4785"/>
      <c r="E21" s="4786" t="s">
        <v>18</v>
      </c>
      <c r="F21" s="4787" t="str">
        <f>INDEX(IP_MAIN_LIST_NAME_IP,MATCH(A21,IP_MAIN_LIST_IP_ID,0))&amp;" ("&amp;INDEX(IP_MAIN_START_DATE,MATCH(A21,IP_MAIN_LIST_IP_ID,0))&amp;"-"&amp;INDEX(IP_MAIN_END_DATE,MATCH(A21,IP_MAIN_LIST_IP_ID,0))&amp;")"</f>
        <v>Инвестиционная программа № пр. 19-150/2 от 30.10.2018 МУП "Уссурийск-Водоканал" в сфере водоснабжения и водоотведения по модернизации и реконструкции объектов, на территории городского округа Уссурийский на 2019-2023 годы (01.01.2019-31.12.2023)</v>
      </c>
      <c r="G21" s="4788"/>
      <c r="H21" s="4789"/>
      <c r="I21" s="4789"/>
      <c r="J21" s="4789"/>
      <c r="K21" s="4789"/>
      <c r="L21" s="4789"/>
      <c r="M21" s="4789"/>
      <c r="N21" s="4789"/>
      <c r="O21" s="4788"/>
      <c r="P21" s="4788"/>
      <c r="Q21" s="4788"/>
      <c r="R21" s="4788"/>
      <c r="S21" s="4788"/>
      <c r="T21" s="4788"/>
      <c r="U21" s="4790"/>
      <c r="V21" s="4790"/>
      <c r="W21" s="4790"/>
      <c r="X21" s="4790"/>
      <c r="Y21" s="4790"/>
      <c r="Z21" s="4790"/>
      <c r="AA21" s="4790"/>
      <c r="AB21" s="4788"/>
      <c r="AC21" s="4789"/>
      <c r="AD21" s="4789"/>
      <c r="AE21" s="4789"/>
      <c r="AF21" s="4789"/>
      <c r="AG21" s="4789"/>
      <c r="AH21" s="4789"/>
      <c r="AI21" s="4789"/>
      <c r="AJ21" s="4789"/>
      <c r="AK21" s="4789"/>
      <c r="AL21" s="4789"/>
      <c r="AM21" s="4789"/>
      <c r="AN21" s="4789"/>
      <c r="AO21" s="4789"/>
      <c r="AP21" s="4789"/>
      <c r="AQ21" s="4789"/>
      <c r="AR21" s="4789"/>
      <c r="AS21" s="4789"/>
      <c r="AT21" s="4789"/>
      <c r="AU21" s="4789"/>
      <c r="AV21" s="4789"/>
      <c r="AW21" s="4789"/>
      <c r="AX21" s="4789"/>
      <c r="AY21" s="4789"/>
      <c r="AZ21" s="4789"/>
      <c r="BA21" s="4789"/>
      <c r="BB21" s="4789"/>
      <c r="BC21" s="4789"/>
      <c r="BD21" s="4789"/>
      <c r="BE21" s="4789"/>
      <c r="BF21" s="4789"/>
      <c r="BG21" s="4789"/>
      <c r="BH21" s="4789"/>
      <c r="BI21" s="4789"/>
      <c r="BJ21" s="4789"/>
      <c r="BK21" s="4789"/>
      <c r="BL21" s="4789"/>
      <c r="BM21" s="4789"/>
      <c r="BN21" s="4789"/>
      <c r="BO21" s="4789"/>
      <c r="BP21" s="4789"/>
      <c r="BQ21" s="4789"/>
      <c r="BR21" s="4789"/>
      <c r="BS21" s="4789"/>
      <c r="BT21" s="4789"/>
      <c r="BU21" s="4789"/>
      <c r="BV21" s="4789"/>
      <c r="BW21" s="4789"/>
      <c r="BX21" s="4789"/>
      <c r="BY21" s="4789"/>
      <c r="BZ21" s="4789"/>
      <c r="CA21" s="4789"/>
      <c r="CB21" s="4789"/>
      <c r="CC21" s="4789"/>
      <c r="CD21" s="4789"/>
      <c r="CE21" s="4789"/>
      <c r="CF21" s="4789"/>
      <c r="CG21" s="4789"/>
      <c r="CH21" s="4789"/>
      <c r="CI21" s="4789"/>
      <c r="CJ21" s="4789"/>
      <c r="CK21" s="4789"/>
      <c r="CL21" s="4791"/>
      <c r="CM21" s="4791"/>
      <c r="CN21" s="4791"/>
      <c r="CO21" s="4791"/>
      <c r="CP21" s="4791"/>
      <c r="CQ21" s="4791"/>
      <c r="CR21" s="4791"/>
      <c r="CS21" s="4791"/>
      <c r="CT21" s="4791"/>
      <c r="CU21" s="4791"/>
      <c r="CV21" s="4791"/>
      <c r="CW21" s="4791"/>
      <c r="CX21" s="4791"/>
      <c r="CY21" s="4791"/>
      <c r="CZ21" s="4791"/>
      <c r="DA21" s="4791"/>
      <c r="DB21" s="4791"/>
      <c r="DC21" s="4791"/>
      <c r="DD21" s="4791"/>
      <c r="DE21" s="4791"/>
      <c r="DF21" s="4791"/>
      <c r="DG21" s="4791"/>
      <c r="DH21" s="4791"/>
      <c r="DI21" s="4791"/>
      <c r="DJ21" s="4791"/>
      <c r="DK21" s="4791"/>
      <c r="DL21" s="4791"/>
      <c r="DM21" s="4791"/>
      <c r="DN21" s="4791"/>
      <c r="DO21" s="4791"/>
      <c r="DP21" s="4791"/>
      <c r="DQ21" s="4791"/>
      <c r="DR21" s="4791"/>
      <c r="DS21" s="4791"/>
      <c r="DT21" s="4791"/>
      <c r="DU21" s="4791"/>
      <c r="DV21" s="4791"/>
      <c r="DW21" s="4791"/>
      <c r="DX21" s="4791"/>
      <c r="DY21" s="4791"/>
      <c r="DZ21" s="4791"/>
      <c r="EA21" s="4791"/>
      <c r="EB21" s="4791"/>
      <c r="EC21" s="4791"/>
      <c r="ED21" s="4791"/>
      <c r="EE21" s="4791"/>
      <c r="EF21" s="4791"/>
      <c r="EG21" s="4791"/>
      <c r="EH21" s="4791"/>
      <c r="EI21" s="4791"/>
      <c r="EJ21" s="4791"/>
      <c r="EK21" s="4791"/>
      <c r="EL21" s="4791"/>
      <c r="EM21" s="4791"/>
      <c r="EN21" s="4791"/>
      <c r="EO21" s="4791"/>
      <c r="EP21" s="4791"/>
      <c r="EQ21" s="4791"/>
      <c r="ER21" s="4791"/>
      <c r="ES21" s="4791"/>
      <c r="ET21" s="4791"/>
      <c r="EU21" s="4791"/>
      <c r="EV21" s="4791"/>
      <c r="EW21" s="4791"/>
      <c r="EX21" s="4791"/>
      <c r="EY21" s="4791"/>
      <c r="EZ21" s="4791"/>
      <c r="FA21" s="4791"/>
      <c r="FB21" s="4791"/>
      <c r="FC21" s="4791"/>
      <c r="FD21" s="4791"/>
      <c r="FE21" s="4791"/>
      <c r="FF21" s="4791"/>
      <c r="FG21" s="4791"/>
      <c r="FH21" s="4791"/>
      <c r="FI21" s="4791"/>
      <c r="FJ21" s="4791"/>
      <c r="FK21" s="4791"/>
      <c r="FL21" s="4791"/>
      <c r="FM21" s="4791"/>
      <c r="FN21" s="4791"/>
      <c r="FO21" s="4791"/>
      <c r="FP21" s="4791"/>
      <c r="FQ21" s="4791"/>
      <c r="FR21" s="4791"/>
      <c r="FS21" s="4791"/>
      <c r="FT21" s="4791"/>
      <c r="FU21" s="4791"/>
      <c r="FV21" s="4792"/>
      <c r="FW21" s="4793"/>
      <c r="FX21" s="4794"/>
      <c r="FY21" s="4785"/>
      <c r="FZ21" s="4785"/>
      <c r="GA21" s="4785"/>
      <c r="GB21" s="4785"/>
    </row>
    <row s="4785" customFormat="1" customHeight="1" ht="24.75">
      <c r="A22" s="4785" t="s">
        <v>1962</v>
      </c>
      <c r="B22" s="4784"/>
      <c r="C22" s="4785"/>
      <c r="D22" s="4785"/>
      <c r="E22" s="4795"/>
      <c r="F22" s="4796">
        <v>1</v>
      </c>
      <c r="G22" s="4797" t="s">
        <v>942</v>
      </c>
      <c r="H22" s="2550" t="s">
        <v>800</v>
      </c>
      <c r="I22" s="4798"/>
      <c r="J22" s="4799"/>
      <c r="K22" s="4799"/>
      <c r="L22" s="4799"/>
      <c r="M22" s="4799"/>
      <c r="N22" s="4799"/>
      <c r="O22" s="4800"/>
      <c r="P22" s="4800"/>
      <c r="Q22" s="4800"/>
      <c r="R22" s="4800"/>
      <c r="S22" s="4800"/>
      <c r="T22" s="4800"/>
      <c r="U22" s="4800"/>
      <c r="V22" s="4800"/>
      <c r="W22" s="4800"/>
      <c r="X22" s="4800"/>
      <c r="Y22" s="4800"/>
      <c r="Z22" s="4800"/>
      <c r="AA22" s="4800"/>
      <c r="AB22" s="4800"/>
      <c r="AC22" s="4799"/>
      <c r="AD22" s="4799"/>
      <c r="AE22" s="4799"/>
      <c r="AF22" s="4799"/>
      <c r="AG22" s="4799"/>
      <c r="AH22" s="4799"/>
      <c r="AI22" s="4799"/>
      <c r="AJ22" s="4799"/>
      <c r="AK22" s="4799"/>
      <c r="AL22" s="4799"/>
      <c r="AM22" s="4799"/>
      <c r="AN22" s="4799"/>
      <c r="AO22" s="4799"/>
      <c r="AP22" s="4799"/>
      <c r="AQ22" s="4799"/>
      <c r="AR22" s="4799"/>
      <c r="AS22" s="4799"/>
      <c r="AT22" s="4799"/>
      <c r="AU22" s="4799"/>
      <c r="AV22" s="4799"/>
      <c r="AW22" s="4799"/>
      <c r="AX22" s="4799"/>
      <c r="AY22" s="4799"/>
      <c r="AZ22" s="4799"/>
      <c r="BA22" s="4799"/>
      <c r="BB22" s="4799"/>
      <c r="BC22" s="4799"/>
      <c r="BD22" s="4799"/>
      <c r="BE22" s="4799"/>
      <c r="BF22" s="4799"/>
      <c r="BG22" s="4799"/>
      <c r="BH22" s="4799"/>
      <c r="BI22" s="4799"/>
      <c r="BJ22" s="4799"/>
      <c r="BK22" s="4799"/>
      <c r="BL22" s="4799"/>
      <c r="BM22" s="4799"/>
      <c r="BN22" s="4799"/>
      <c r="BO22" s="4799"/>
      <c r="BP22" s="4799"/>
      <c r="BQ22" s="4799"/>
      <c r="BR22" s="4799"/>
      <c r="BS22" s="4799"/>
      <c r="BT22" s="4801"/>
      <c r="BU22" s="4801"/>
      <c r="BV22" s="4801"/>
      <c r="BW22" s="4801"/>
      <c r="BX22" s="4801"/>
      <c r="BY22" s="4801"/>
      <c r="BZ22" s="4801"/>
      <c r="CA22" s="4801"/>
      <c r="CB22" s="4801"/>
      <c r="CC22" s="4801"/>
      <c r="CD22" s="4801"/>
      <c r="CE22" s="4801"/>
      <c r="CF22" s="4801"/>
      <c r="CG22" s="4801"/>
      <c r="CH22" s="4801"/>
      <c r="CI22" s="4801"/>
      <c r="CJ22" s="4801"/>
      <c r="CK22" s="4801"/>
      <c r="CL22" s="4799"/>
      <c r="CM22" s="4799"/>
      <c r="CN22" s="4799"/>
      <c r="CO22" s="4799"/>
      <c r="CP22" s="4799"/>
      <c r="CQ22" s="4799"/>
      <c r="CR22" s="4799"/>
      <c r="CS22" s="4799"/>
      <c r="CT22" s="4799"/>
      <c r="CU22" s="4799"/>
      <c r="CV22" s="4799"/>
      <c r="CW22" s="4799"/>
      <c r="CX22" s="4799"/>
      <c r="CY22" s="4800"/>
      <c r="CZ22" s="4800"/>
      <c r="DA22" s="4800"/>
      <c r="DB22" s="4800"/>
      <c r="DC22" s="4800"/>
      <c r="DD22" s="4800"/>
      <c r="DE22" s="4800">
        <v>13</v>
      </c>
      <c r="DF22" s="4800">
        <v>13</v>
      </c>
      <c r="DG22" s="4800">
        <v>1</v>
      </c>
      <c r="DH22" s="4800">
        <v>1</v>
      </c>
      <c r="DI22" s="4800"/>
      <c r="DJ22" s="4800"/>
      <c r="DK22" s="4799"/>
      <c r="DL22" s="4799"/>
      <c r="DM22" s="4799"/>
      <c r="DN22" s="4799"/>
      <c r="DO22" s="4799"/>
      <c r="DP22" s="4799"/>
      <c r="DQ22" s="4799"/>
      <c r="DR22" s="4799"/>
      <c r="DS22" s="4799"/>
      <c r="DT22" s="4799"/>
      <c r="DU22" s="4799"/>
      <c r="DV22" s="4799"/>
      <c r="DW22" s="4799"/>
      <c r="DX22" s="4799"/>
      <c r="DY22" s="4799"/>
      <c r="DZ22" s="4799"/>
      <c r="EA22" s="4799"/>
      <c r="EB22" s="4799"/>
      <c r="EC22" s="4799"/>
      <c r="ED22" s="4799"/>
      <c r="EE22" s="4799"/>
      <c r="EF22" s="4799"/>
      <c r="EG22" s="4799"/>
      <c r="EH22" s="4799"/>
      <c r="EI22" s="4799"/>
      <c r="EJ22" s="4799"/>
      <c r="EK22" s="4799"/>
      <c r="EL22" s="4799"/>
      <c r="EM22" s="4799"/>
      <c r="EN22" s="4799"/>
      <c r="EO22" s="4799"/>
      <c r="EP22" s="4799"/>
      <c r="EQ22" s="4799"/>
      <c r="ER22" s="4799"/>
      <c r="ES22" s="4799"/>
      <c r="ET22" s="4799"/>
      <c r="EU22" s="4799"/>
      <c r="EV22" s="4799"/>
      <c r="EW22" s="4799"/>
      <c r="EX22" s="4799"/>
      <c r="EY22" s="4799"/>
      <c r="EZ22" s="4799"/>
      <c r="FA22" s="4799"/>
      <c r="FB22" s="4799"/>
      <c r="FC22" s="4799"/>
      <c r="FD22" s="4799"/>
      <c r="FE22" s="4799"/>
      <c r="FF22" s="4799"/>
      <c r="FG22" s="4799"/>
      <c r="FH22" s="4799"/>
      <c r="FI22" s="4799"/>
      <c r="FJ22" s="4799"/>
      <c r="FK22" s="4799"/>
      <c r="FL22" s="4799"/>
      <c r="FM22" s="4799"/>
      <c r="FN22" s="4799"/>
      <c r="FO22" s="4799"/>
      <c r="FP22" s="4799"/>
      <c r="FQ22" s="4799"/>
      <c r="FR22" s="4799"/>
      <c r="FS22" s="4799"/>
      <c r="FT22" s="4799"/>
      <c r="FU22" s="4799"/>
      <c r="FV22" s="4799"/>
      <c r="FW22" s="4799"/>
      <c r="FX22" s="4794"/>
      <c r="FY22" s="4785"/>
      <c r="FZ22" s="4785"/>
      <c r="GA22" s="4785"/>
      <c r="GB22" s="4785"/>
    </row>
    <row s="4785" customFormat="1" customHeight="1" ht="12">
      <c r="A23" s="4785" t="s">
        <v>1962</v>
      </c>
      <c r="B23" s="4784"/>
      <c r="C23" s="4785"/>
      <c r="D23" s="4785"/>
      <c r="E23" s="4785"/>
      <c r="F23" s="4802"/>
      <c r="G23" s="4803" t="s">
        <v>415</v>
      </c>
      <c r="H23" s="4804"/>
      <c r="I23" s="4805"/>
      <c r="J23" s="4806"/>
      <c r="K23" s="4807"/>
      <c r="L23" s="4808"/>
      <c r="M23" s="4809"/>
      <c r="N23" s="4810"/>
      <c r="O23" s="4811"/>
      <c r="P23" s="4812"/>
      <c r="Q23" s="4813"/>
      <c r="R23" s="4814"/>
      <c r="S23" s="4815"/>
      <c r="T23" s="4816"/>
      <c r="U23" s="4817"/>
      <c r="V23" s="4818"/>
      <c r="W23" s="4819"/>
      <c r="X23" s="4820"/>
      <c r="Y23" s="4821"/>
      <c r="Z23" s="4822"/>
      <c r="AA23" s="4823"/>
      <c r="AB23" s="4824"/>
      <c r="AC23" s="4825"/>
      <c r="AD23" s="4826"/>
      <c r="AE23" s="4827"/>
      <c r="AF23" s="4828"/>
      <c r="AG23" s="4829"/>
      <c r="AH23" s="4830"/>
      <c r="AI23" s="4831"/>
      <c r="AJ23" s="4832"/>
      <c r="AK23" s="4833"/>
      <c r="AL23" s="4834"/>
      <c r="AM23" s="4835"/>
      <c r="AN23" s="4836"/>
      <c r="AO23" s="4837"/>
      <c r="AP23" s="4838"/>
      <c r="AQ23" s="4839"/>
      <c r="AR23" s="4840"/>
      <c r="AS23" s="4841"/>
      <c r="AT23" s="4842"/>
      <c r="AU23" s="4843"/>
      <c r="AV23" s="4844"/>
      <c r="AW23" s="4845"/>
      <c r="AX23" s="4846"/>
      <c r="AY23" s="4847"/>
      <c r="AZ23" s="4848"/>
      <c r="BA23" s="4849"/>
      <c r="BB23" s="4850"/>
      <c r="BC23" s="4851"/>
      <c r="BD23" s="4852"/>
      <c r="BE23" s="4853"/>
      <c r="BF23" s="4854"/>
      <c r="BG23" s="4855"/>
      <c r="BH23" s="4856"/>
      <c r="BI23" s="4857"/>
      <c r="BJ23" s="4858"/>
      <c r="BK23" s="4859"/>
      <c r="BL23" s="4860"/>
      <c r="BM23" s="4861"/>
      <c r="BN23" s="4862"/>
      <c r="BO23" s="4863"/>
      <c r="BP23" s="4864"/>
      <c r="BQ23" s="4865"/>
      <c r="BR23" s="4866"/>
      <c r="BS23" s="4867"/>
      <c r="BT23" s="4868"/>
      <c r="BU23" s="4869"/>
      <c r="BV23" s="4870"/>
      <c r="BW23" s="4871"/>
      <c r="BX23" s="4872"/>
      <c r="BY23" s="4873"/>
      <c r="BZ23" s="4874"/>
      <c r="CA23" s="4875"/>
      <c r="CB23" s="4876"/>
      <c r="CC23" s="4877"/>
      <c r="CD23" s="4878"/>
      <c r="CE23" s="4879"/>
      <c r="CF23" s="4880"/>
      <c r="CG23" s="4881"/>
      <c r="CH23" s="4882"/>
      <c r="CI23" s="4883"/>
      <c r="CJ23" s="4884"/>
      <c r="CK23" s="4885"/>
      <c r="CL23" s="4886"/>
      <c r="CM23" s="4887"/>
      <c r="CN23" s="4888"/>
      <c r="CO23" s="4889"/>
      <c r="CP23" s="4890"/>
      <c r="CQ23" s="4891"/>
      <c r="CR23" s="4892"/>
      <c r="CS23" s="4893"/>
      <c r="CT23" s="4894"/>
      <c r="CU23" s="4895"/>
      <c r="CV23" s="4896"/>
      <c r="CW23" s="4897"/>
      <c r="CX23" s="4898"/>
      <c r="CY23" s="4899"/>
      <c r="CZ23" s="4900"/>
      <c r="DA23" s="4901"/>
      <c r="DB23" s="4902"/>
      <c r="DC23" s="4903"/>
      <c r="DD23" s="4904"/>
      <c r="DE23" s="4905"/>
      <c r="DF23" s="4906"/>
      <c r="DG23" s="4907"/>
      <c r="DH23" s="4908"/>
      <c r="DI23" s="4909"/>
      <c r="DJ23" s="4910"/>
      <c r="DK23" s="4911"/>
      <c r="DL23" s="4912"/>
      <c r="DM23" s="4913"/>
      <c r="DN23" s="4914"/>
      <c r="DO23" s="4915"/>
      <c r="DP23" s="4916"/>
      <c r="DQ23" s="4917"/>
      <c r="DR23" s="4918"/>
      <c r="DS23" s="4919"/>
      <c r="DT23" s="4920"/>
      <c r="DU23" s="4921"/>
      <c r="DV23" s="4922"/>
      <c r="DW23" s="4923"/>
      <c r="DX23" s="4924"/>
      <c r="DY23" s="4925"/>
      <c r="DZ23" s="4926"/>
      <c r="EA23" s="4927"/>
      <c r="EB23" s="4928"/>
      <c r="EC23" s="4929"/>
      <c r="ED23" s="4930"/>
      <c r="EE23" s="4931"/>
      <c r="EF23" s="4932"/>
      <c r="EG23" s="4933"/>
      <c r="EH23" s="4934"/>
      <c r="EI23" s="4935"/>
      <c r="EJ23" s="4936"/>
      <c r="EK23" s="4937"/>
      <c r="EL23" s="4938"/>
      <c r="EM23" s="4939"/>
      <c r="EN23" s="4940"/>
      <c r="EO23" s="4941"/>
      <c r="EP23" s="4942"/>
      <c r="EQ23" s="4943"/>
      <c r="ER23" s="4944"/>
      <c r="ES23" s="4945"/>
      <c r="ET23" s="4946"/>
      <c r="EU23" s="4947"/>
      <c r="EV23" s="4948"/>
      <c r="EW23" s="4949"/>
      <c r="EX23" s="4950"/>
      <c r="EY23" s="4951"/>
      <c r="EZ23" s="4952"/>
      <c r="FA23" s="4953"/>
      <c r="FB23" s="4954"/>
      <c r="FC23" s="4955"/>
      <c r="FD23" s="4956"/>
      <c r="FE23" s="4957"/>
      <c r="FF23" s="4958"/>
      <c r="FG23" s="4959"/>
      <c r="FH23" s="4960"/>
      <c r="FI23" s="4961"/>
      <c r="FJ23" s="4962"/>
      <c r="FK23" s="4963"/>
      <c r="FL23" s="4964"/>
      <c r="FM23" s="4965"/>
      <c r="FN23" s="4966"/>
      <c r="FO23" s="4967"/>
      <c r="FP23" s="4968"/>
      <c r="FQ23" s="4969"/>
      <c r="FR23" s="4970"/>
      <c r="FS23" s="4971"/>
      <c r="FT23" s="4972"/>
      <c r="FU23" s="4973"/>
      <c r="FV23" s="4974"/>
      <c r="FW23" s="4975"/>
      <c r="FX23" s="4976"/>
      <c r="FY23" s="4977"/>
      <c r="FZ23" s="4977"/>
      <c r="GA23" s="4977"/>
      <c r="GB23" s="4977"/>
    </row>
    <row s="3290" customFormat="1" customHeight="1" ht="12">
      <c r="A24" s="953"/>
      <c r="B24" s="953"/>
      <c r="C24" s="953"/>
      <c r="D24" s="953"/>
      <c r="E24" s="953"/>
      <c r="F24" s="951"/>
      <c r="G24" s="951"/>
      <c r="H24" s="951"/>
      <c r="I24" s="951"/>
      <c r="J24" s="951"/>
      <c r="K24" s="951"/>
      <c r="L24" s="951"/>
      <c r="M24" s="951"/>
      <c r="N24" s="951"/>
      <c r="O24" s="951"/>
      <c r="P24" s="951"/>
      <c r="Q24" s="951"/>
      <c r="R24" s="951"/>
      <c r="S24" s="954"/>
      <c r="T24" s="954"/>
      <c r="U24" s="951"/>
      <c r="V24" s="951"/>
      <c r="W24" s="951"/>
      <c r="X24" s="951"/>
      <c r="Y24" s="951"/>
      <c r="Z24" s="951"/>
      <c r="AA24" s="951"/>
      <c r="AB24" s="951"/>
      <c r="AC24" s="951"/>
      <c r="AD24" s="951"/>
      <c r="AE24" s="951"/>
      <c r="AF24" s="951"/>
      <c r="AG24" s="951"/>
      <c r="AH24" s="951"/>
      <c r="AI24" s="951"/>
      <c r="AJ24" s="951"/>
      <c r="AK24" s="951"/>
      <c r="AL24" s="951"/>
      <c r="AM24" s="951"/>
      <c r="AN24" s="951"/>
      <c r="AO24" s="951"/>
      <c r="AP24" s="951"/>
      <c r="AQ24" s="951"/>
      <c r="AR24" s="951"/>
      <c r="AS24" s="951"/>
      <c r="AT24" s="951"/>
      <c r="AU24" s="951"/>
      <c r="AV24" s="951"/>
      <c r="AW24" s="951"/>
      <c r="AX24" s="951"/>
      <c r="AY24" s="951"/>
      <c r="AZ24" s="951"/>
      <c r="BA24" s="951"/>
      <c r="BB24" s="951"/>
      <c r="BC24" s="951"/>
      <c r="BD24" s="951"/>
      <c r="BE24" s="951"/>
      <c r="BF24" s="951"/>
      <c r="BG24" s="951"/>
      <c r="BH24" s="951"/>
      <c r="BI24" s="951"/>
      <c r="BJ24" s="951"/>
      <c r="BK24" s="951"/>
      <c r="BL24" s="951"/>
      <c r="BM24" s="951"/>
      <c r="BN24" s="951"/>
      <c r="BO24" s="951"/>
      <c r="BP24" s="951"/>
      <c r="BQ24" s="951"/>
      <c r="BR24" s="951"/>
      <c r="BS24" s="951"/>
      <c r="BT24" s="951"/>
      <c r="BU24" s="951"/>
      <c r="BV24" s="951"/>
      <c r="BW24" s="951"/>
      <c r="BX24" s="951"/>
      <c r="BY24" s="951"/>
      <c r="BZ24" s="951"/>
      <c r="CA24" s="951"/>
      <c r="CB24" s="951"/>
      <c r="CC24" s="951"/>
      <c r="CD24" s="951"/>
      <c r="CE24" s="951"/>
      <c r="CF24" s="951"/>
      <c r="CG24" s="951"/>
      <c r="CH24" s="951"/>
      <c r="CI24" s="951"/>
      <c r="CJ24" s="951"/>
      <c r="CK24" s="951"/>
      <c r="CL24" s="951"/>
      <c r="CM24" s="951"/>
      <c r="CN24" s="951"/>
      <c r="CO24" s="951"/>
      <c r="CP24" s="951"/>
      <c r="CQ24" s="951"/>
      <c r="CR24" s="951"/>
      <c r="CS24" s="951"/>
      <c r="CT24" s="951"/>
      <c r="CU24" s="951"/>
      <c r="CV24" s="951"/>
      <c r="CW24" s="951"/>
      <c r="CX24" s="951"/>
      <c r="CY24" s="951"/>
      <c r="CZ24" s="951"/>
      <c r="DA24" s="951"/>
      <c r="DB24" s="951"/>
      <c r="DC24" s="951"/>
      <c r="DD24" s="951"/>
      <c r="DE24" s="951"/>
      <c r="DF24" s="951"/>
      <c r="DG24" s="951"/>
      <c r="DH24" s="951"/>
      <c r="DI24" s="951"/>
      <c r="DJ24" s="951"/>
      <c r="DK24" s="951"/>
      <c r="DL24" s="951"/>
      <c r="DM24" s="951"/>
      <c r="DN24" s="951"/>
      <c r="DO24" s="951"/>
      <c r="DP24" s="951"/>
      <c r="DQ24" s="951"/>
      <c r="DR24" s="951"/>
      <c r="DS24" s="951"/>
      <c r="DT24" s="951"/>
      <c r="DU24" s="951"/>
      <c r="DV24" s="951"/>
      <c r="DW24" s="951"/>
      <c r="DX24" s="951"/>
      <c r="DY24" s="951"/>
      <c r="DZ24" s="951"/>
      <c r="EA24" s="951"/>
      <c r="EB24" s="951"/>
      <c r="EC24" s="951"/>
      <c r="ED24" s="951"/>
      <c r="EE24" s="951"/>
      <c r="EF24" s="951"/>
      <c r="EG24" s="951"/>
      <c r="EH24" s="951"/>
      <c r="EI24" s="951"/>
      <c r="EJ24" s="951"/>
      <c r="EK24" s="951"/>
      <c r="EL24" s="951"/>
      <c r="EM24" s="951"/>
      <c r="EN24" s="951"/>
      <c r="EO24" s="951"/>
      <c r="EP24" s="951"/>
      <c r="EQ24" s="951"/>
      <c r="ER24" s="951"/>
      <c r="ES24" s="951"/>
      <c r="ET24" s="951"/>
      <c r="EU24" s="951"/>
      <c r="EV24" s="951"/>
      <c r="EW24" s="951"/>
      <c r="EX24" s="951"/>
      <c r="EY24" s="951"/>
      <c r="EZ24" s="951"/>
      <c r="FA24" s="951"/>
      <c r="FB24" s="951"/>
      <c r="FC24" s="951"/>
      <c r="FD24" s="951"/>
      <c r="FE24" s="951"/>
      <c r="FF24" s="951"/>
      <c r="FG24" s="951"/>
      <c r="FH24" s="951"/>
      <c r="FI24" s="951"/>
      <c r="FJ24" s="951"/>
      <c r="FK24" s="951"/>
      <c r="FL24" s="951"/>
      <c r="FM24" s="951"/>
      <c r="FN24" s="951"/>
      <c r="FO24" s="951"/>
      <c r="FP24" s="951"/>
      <c r="FQ24" s="951"/>
      <c r="FR24" s="951"/>
      <c r="FS24" s="951"/>
      <c r="FT24" s="951"/>
      <c r="FU24" s="951"/>
      <c r="FV24" s="951"/>
      <c r="FW24" s="951"/>
      <c r="FX24" s="953"/>
      <c r="FY24" s="953"/>
      <c r="FZ24" s="953"/>
      <c r="GA24" s="953"/>
      <c r="GB24" s="953"/>
    </row>
    <row s="3290" customFormat="1" customHeight="1" ht="12">
      <c r="A25" s="953"/>
      <c r="B25" s="953"/>
      <c r="C25" s="953"/>
      <c r="D25" s="953"/>
      <c r="E25" s="953"/>
      <c r="FX25" s="953"/>
      <c r="FY25" s="953"/>
      <c r="FZ25" s="953"/>
      <c r="GA25" s="953"/>
      <c r="GB25" s="953"/>
    </row>
    <row s="4979" customFormat="1" customHeight="1" ht="12">
      <c r="A26" s="1075"/>
      <c r="B26" s="1075"/>
      <c r="C26" s="1075"/>
      <c r="D26" s="1075"/>
      <c r="E26" s="1075"/>
      <c r="O26" s="1077"/>
      <c r="P26" s="1077"/>
      <c r="Q26" s="1077"/>
      <c r="R26" s="1077"/>
      <c r="S26" s="1077"/>
      <c r="T26" s="1077"/>
      <c r="U26" s="1077"/>
      <c r="V26" s="1077"/>
      <c r="W26" s="1077"/>
      <c r="X26" s="1077"/>
      <c r="Y26" s="1077"/>
      <c r="Z26" s="1077"/>
      <c r="AA26" s="1077"/>
      <c r="AB26" s="1077"/>
      <c r="AC26" s="1077"/>
      <c r="AD26" s="1077"/>
      <c r="AE26" s="1077"/>
      <c r="AF26" s="1077"/>
      <c r="AG26" s="1077"/>
      <c r="AH26" s="1077"/>
      <c r="AI26" s="1077"/>
      <c r="AJ26" s="1077"/>
      <c r="AK26" s="1077"/>
      <c r="AL26" s="1077"/>
      <c r="AM26" s="1077"/>
      <c r="AN26" s="1077"/>
      <c r="AO26" s="1077"/>
      <c r="AP26" s="1077"/>
      <c r="AQ26" s="1077"/>
      <c r="AR26" s="1077"/>
      <c r="AS26" s="1077"/>
      <c r="AT26" s="1077"/>
      <c r="AU26" s="1077"/>
      <c r="AV26" s="1077"/>
      <c r="AW26" s="1077"/>
      <c r="AX26" s="1077"/>
      <c r="AY26" s="1077"/>
      <c r="AZ26" s="1077"/>
      <c r="BA26" s="1077"/>
      <c r="BB26" s="1077"/>
      <c r="BC26" s="1077"/>
      <c r="BD26" s="1077"/>
      <c r="BE26" s="1077"/>
      <c r="BF26" s="1077"/>
      <c r="BG26" s="1077"/>
      <c r="BH26" s="1077"/>
      <c r="BI26" s="1077"/>
      <c r="BJ26" s="1077"/>
      <c r="BK26" s="1077"/>
      <c r="BL26" s="1077"/>
      <c r="BM26" s="1077"/>
      <c r="BN26" s="1077"/>
      <c r="BO26" s="1077"/>
      <c r="BP26" s="1077"/>
      <c r="BQ26" s="1077"/>
      <c r="BR26" s="1077"/>
      <c r="BS26" s="1077"/>
      <c r="BT26" s="1078"/>
      <c r="BU26" s="1078"/>
      <c r="BV26" s="1078"/>
      <c r="BW26" s="1078"/>
      <c r="BX26" s="1078"/>
      <c r="BY26" s="1078"/>
      <c r="BZ26" s="1078"/>
      <c r="CA26" s="1078"/>
      <c r="CB26" s="1078"/>
      <c r="CC26" s="1078"/>
      <c r="CD26" s="1078"/>
      <c r="CE26" s="1078"/>
      <c r="CF26" s="1078"/>
      <c r="CG26" s="1078"/>
      <c r="CH26" s="1078"/>
      <c r="CI26" s="1078"/>
      <c r="CJ26" s="1078"/>
      <c r="CK26" s="1078"/>
      <c r="CL26" s="1078"/>
      <c r="CM26" s="1078"/>
      <c r="CN26" s="1078"/>
      <c r="CO26" s="1078"/>
      <c r="CP26" s="1078"/>
      <c r="CQ26" s="1078"/>
      <c r="CR26" s="1078"/>
      <c r="CS26" s="1078"/>
      <c r="CT26" s="1078"/>
      <c r="CU26" s="1078"/>
      <c r="CV26" s="1078"/>
      <c r="CW26" s="1078"/>
      <c r="CX26" s="1078"/>
      <c r="CY26" s="1078"/>
      <c r="CZ26" s="1078"/>
      <c r="DA26" s="1078"/>
      <c r="DB26" s="1078"/>
      <c r="DC26" s="1078"/>
      <c r="DD26" s="1078"/>
      <c r="DE26" s="1078"/>
      <c r="DF26" s="1078"/>
      <c r="DG26" s="1078"/>
      <c r="DH26" s="1078"/>
      <c r="DI26" s="1078"/>
      <c r="DJ26" s="1078"/>
      <c r="DK26" s="1078"/>
      <c r="DL26" s="1078"/>
      <c r="DM26" s="1078"/>
      <c r="DN26" s="1078"/>
      <c r="DO26" s="1078"/>
      <c r="DP26" s="1078"/>
      <c r="DQ26" s="1078"/>
      <c r="DR26" s="1078"/>
      <c r="DS26" s="1078"/>
      <c r="DT26" s="1078"/>
      <c r="DU26" s="1078"/>
      <c r="DV26" s="1078"/>
      <c r="DW26" s="1078"/>
      <c r="DX26" s="1078"/>
      <c r="FX26" s="1075"/>
      <c r="FY26" s="1075"/>
      <c r="FZ26" s="1075"/>
      <c r="GA26" s="1075"/>
      <c r="GB26" s="1075"/>
    </row>
    <row customHeight="1" ht="12">
      <c r="S27" s="950"/>
      <c r="T27" s="950"/>
      <c r="U27" s="950"/>
      <c r="V27" s="950"/>
      <c r="W27" s="950"/>
      <c r="X27" s="950"/>
      <c r="Y27" s="950"/>
      <c r="Z27" s="950"/>
      <c r="AA27" s="950"/>
      <c r="AB27" s="950"/>
      <c r="FX27" s="950"/>
      <c r="FY27" s="950"/>
      <c r="FZ27" s="950"/>
      <c r="GA27" s="950"/>
      <c r="GB27"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2">
    <dataValidation allowBlank="1" showInputMessage="1" showErrorMessage="1" sqref="AA14:AB16 U16:Z16"/>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347241-CAF4-0A83-58CF-5A2B240A666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59" width="10.57421875" hidden="1"/>
    <col min="2" max="2" style="3159" width="11.00390625" hidden="1" customWidth="1"/>
    <col min="3" max="3" style="3159" width="10.57421875" hidden="1"/>
    <col min="4" max="4" style="3159" width="11.8515625" hidden="1" customWidth="1"/>
    <col min="5" max="5" style="3159" width="10.00390625" hidden="1" customWidth="1"/>
    <col min="6" max="6" style="3159" width="8.7109375" hidden="1" customWidth="1"/>
    <col min="7" max="7" style="3159" width="7.57421875" hidden="1" customWidth="1"/>
    <col min="8" max="8" style="3159" width="11.421875" hidden="1" customWidth="1"/>
    <col min="9" max="9" style="3159" width="14.140625" hidden="1" customWidth="1"/>
    <col min="10" max="10" style="3159" width="9.8515625" hidden="1" customWidth="1"/>
    <col min="11" max="11" style="3159" width="14.7109375" hidden="1" customWidth="1"/>
    <col min="12" max="12" style="4990" width="19.140625" hidden="1" customWidth="1"/>
    <col min="13" max="14" style="3619" width="12.28125" hidden="1" customWidth="1"/>
    <col min="15" max="15" style="3619" width="23.421875" hidden="1" customWidth="1"/>
    <col min="16" max="16" style="4995" width="3.7109375" customWidth="1"/>
    <col min="17" max="18" style="3694" width="3.7109375" customWidth="1"/>
    <col min="19" max="19" style="3695" width="12.7109375" customWidth="1"/>
    <col min="20" max="20" style="2876" width="35.7109375" customWidth="1"/>
    <col min="21" max="21" style="2876" width="0.140625" customWidth="1"/>
    <col min="22" max="24" style="2876" width="24.7109375" hidden="1" customWidth="1"/>
    <col min="25" max="25" style="2876" width="11.7109375" hidden="1" customWidth="1"/>
    <col min="26" max="26" style="2876" width="3.7109375" hidden="1" customWidth="1"/>
    <col min="27" max="27" style="2876" width="11.7109375" hidden="1" customWidth="1"/>
    <col min="28" max="28" style="2876" width="8.57421875" hidden="1" customWidth="1"/>
    <col min="29" max="31" style="2876" width="24.7109375" customWidth="1"/>
    <col min="32" max="32" style="2876" width="11.7109375" customWidth="1"/>
    <col min="33" max="33" style="2876" width="3.7109375" customWidth="1"/>
    <col min="34" max="34" style="2876" width="11.7109375" customWidth="1"/>
    <col min="35" max="35" style="2876" width="8.57421875" hidden="1" customWidth="1"/>
    <col min="36" max="36" style="2876" width="4.7109375" customWidth="1"/>
    <col min="37" max="37" style="2876"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130</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462</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463</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2083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2084</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1679</v>
      </c>
      <c r="U5" s="288"/>
      <c r="V5" s="2322"/>
      <c r="W5" s="2323"/>
      <c r="X5" s="2323"/>
      <c r="Y5" s="2323"/>
      <c r="Z5" s="2323"/>
      <c r="AA5" s="2323"/>
      <c r="AB5" s="2324"/>
      <c r="AC5" s="2325"/>
      <c r="AD5" s="2326"/>
      <c r="AE5" s="2326"/>
      <c r="AF5" s="2326"/>
      <c r="AG5" s="2326"/>
      <c r="AH5" s="2326"/>
      <c r="AI5" s="2326"/>
      <c r="AJ5" s="2327"/>
      <c r="AK5" s="1292" t="s">
        <v>1680</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471</v>
      </c>
      <c r="P6" s="2190"/>
      <c r="Q6" s="2190">
        <v>1</v>
      </c>
      <c r="R6" s="353"/>
      <c r="S6" s="1529">
        <f>$J6</f>
      </c>
      <c r="T6" s="274" t="s">
        <v>472</v>
      </c>
      <c r="U6" s="288"/>
      <c r="V6" s="2178"/>
      <c r="W6" s="2179"/>
      <c r="X6" s="2179"/>
      <c r="Y6" s="2179"/>
      <c r="Z6" s="2179"/>
      <c r="AA6" s="2179"/>
      <c r="AB6" s="2180"/>
      <c r="AC6" s="2178"/>
      <c r="AD6" s="2179"/>
      <c r="AE6" s="2179"/>
      <c r="AF6" s="2179"/>
      <c r="AG6" s="2179"/>
      <c r="AH6" s="2179"/>
      <c r="AI6" s="2179"/>
      <c r="AJ6" s="2180"/>
      <c r="AK6" s="1343" t="s">
        <v>1681</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1682</v>
      </c>
      <c r="U9" s="367"/>
      <c r="V9" s="367"/>
      <c r="W9" s="367"/>
      <c r="X9" s="367"/>
      <c r="Y9" s="367"/>
      <c r="Z9" s="367"/>
      <c r="AA9" s="367"/>
      <c r="AB9" s="367"/>
      <c r="AC9" s="367"/>
      <c r="AD9" s="367"/>
      <c r="AE9" s="367"/>
      <c r="AF9" s="367"/>
      <c r="AG9" s="367"/>
      <c r="AH9" s="367"/>
      <c r="AI9" s="367"/>
      <c r="AJ9" s="367"/>
      <c r="AK9" s="1292" t="s">
        <v>1683</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477</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9"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59" customFormat="1" customHeight="1" ht="22.5" hidden="1">
      <c r="L18" s="1514"/>
      <c r="M18" s="1398"/>
      <c r="N18" s="1398"/>
      <c r="O18" s="1403" t="s">
        <v>479</v>
      </c>
      <c r="P18" s="1398"/>
      <c r="Q18" s="1407"/>
      <c r="R18" s="1407"/>
      <c r="S18" s="738"/>
      <c r="Y18" s="1403"/>
      <c r="AA18" s="1403"/>
      <c r="AB18" s="1402"/>
      <c r="AF18" s="1403"/>
      <c r="AH18" s="1403"/>
      <c r="AI18" s="1402"/>
      <c r="AL18" s="519"/>
      <c r="AM18" s="519"/>
      <c r="AN18" s="519"/>
      <c r="AO18" s="519"/>
      <c r="AP18" s="519"/>
    </row>
    <row s="3159" customFormat="1" customHeight="1" ht="14.25" hidden="1">
      <c r="L19" s="1514"/>
      <c r="M19" s="1398"/>
      <c r="N19" s="1398"/>
      <c r="O19" s="1398"/>
      <c r="P19" s="1398"/>
      <c r="Q19" s="1407"/>
      <c r="R19" s="1407"/>
      <c r="S19" s="738"/>
      <c r="AB19" s="1402"/>
      <c r="AI19" s="1402"/>
      <c r="AL19" s="519"/>
      <c r="AM19" s="519"/>
      <c r="AN19" s="519"/>
      <c r="AO19" s="519"/>
      <c r="AP19" s="519"/>
    </row>
    <row s="3159" customFormat="1" customHeight="1" ht="12" hidden="1">
      <c r="L20" s="1514"/>
      <c r="M20" s="1398"/>
      <c r="N20" s="1398"/>
      <c r="O20" s="1400" t="s">
        <v>480</v>
      </c>
      <c r="P20" s="1398"/>
      <c r="Q20" s="1478"/>
      <c r="R20" s="1478"/>
      <c r="S20" s="738"/>
      <c r="T20" s="1174" t="s">
        <v>481</v>
      </c>
      <c r="Z20" s="172" t="s">
        <v>482</v>
      </c>
      <c r="AB20" s="172" t="s">
        <v>483</v>
      </c>
      <c r="AC20" s="1174" t="s">
        <v>481</v>
      </c>
      <c r="AG20" s="172" t="s">
        <v>484</v>
      </c>
      <c r="AI20" s="172" t="s">
        <v>483</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"Уссурийск-Водоканал"</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8" customFormat="1" customHeight="1" ht="25.5" hidden="1">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8" customFormat="1" customHeight="1" ht="18.75" hidden="1">
      <c r="A28" s="1404"/>
      <c r="B28" s="1404"/>
      <c r="C28" s="1404"/>
      <c r="D28" s="1404"/>
      <c r="E28" s="1404"/>
      <c r="F28" s="1404"/>
      <c r="G28" s="1404"/>
      <c r="H28" s="1404"/>
      <c r="I28" s="1404"/>
      <c r="J28" s="1404"/>
      <c r="K28" s="1404"/>
      <c r="L28" s="1405"/>
      <c r="M28" s="1404"/>
      <c r="N28" s="1404"/>
      <c r="O28" s="1404"/>
      <c r="S28" s="2183" t="s">
        <v>485</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8" customFormat="1" customHeight="1" ht="18.75" hidden="1">
      <c r="A29" s="1404"/>
      <c r="B29" s="1404"/>
      <c r="C29" s="1404"/>
      <c r="D29" s="1404"/>
      <c r="E29" s="1404"/>
      <c r="F29" s="1404"/>
      <c r="G29" s="1404"/>
      <c r="H29" s="1404"/>
      <c r="I29" s="1404"/>
      <c r="J29" s="1404"/>
      <c r="K29" s="1404"/>
      <c r="L29" s="1405"/>
      <c r="M29" s="1404"/>
      <c r="N29" s="1404"/>
      <c r="O29" s="1404"/>
      <c r="S29" s="2183" t="s">
        <v>486</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8" customFormat="1" customHeight="1" ht="18.75" hidden="1">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8" customFormat="1" customHeight="1" ht="18.75" hidden="1">
      <c r="A32" s="1404"/>
      <c r="B32" s="1404"/>
      <c r="C32" s="1404"/>
      <c r="D32" s="1404"/>
      <c r="E32" s="1404"/>
      <c r="F32" s="1404"/>
      <c r="G32" s="1404"/>
      <c r="H32" s="1404"/>
      <c r="I32" s="1404"/>
      <c r="J32" s="1404"/>
      <c r="K32" s="1404"/>
      <c r="L32" s="1405"/>
      <c r="M32" s="1404"/>
      <c r="N32" s="1404"/>
      <c r="O32" s="1404"/>
      <c r="S32" s="2183" t="s">
        <v>487</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8" customFormat="1" customHeight="1" ht="18.75" hidden="1">
      <c r="A33" s="1404"/>
      <c r="B33" s="1404"/>
      <c r="C33" s="1404"/>
      <c r="D33" s="1404"/>
      <c r="E33" s="1404"/>
      <c r="F33" s="1404"/>
      <c r="G33" s="1404"/>
      <c r="H33" s="1404"/>
      <c r="I33" s="1404"/>
      <c r="J33" s="1404"/>
      <c r="K33" s="1404"/>
      <c r="L33" s="1405"/>
      <c r="M33" s="1404"/>
      <c r="N33" s="1404"/>
      <c r="O33" s="1404"/>
      <c r="S33" s="2183" t="s">
        <v>488</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8"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489</v>
      </c>
      <c r="AC34" s="322"/>
      <c r="AD34" s="322"/>
      <c r="AE34" s="322"/>
      <c r="AF34" s="322"/>
      <c r="AG34" s="322"/>
      <c r="AH34" s="322"/>
      <c r="AI34" s="266" t="s">
        <v>489</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490</v>
      </c>
      <c r="U37" s="289"/>
      <c r="V37" s="2207" t="s">
        <v>491</v>
      </c>
      <c r="W37" s="2208"/>
      <c r="X37" s="2208"/>
      <c r="Y37" s="2208"/>
      <c r="Z37" s="2208"/>
      <c r="AA37" s="2209"/>
      <c r="AB37" s="2210" t="s">
        <v>492</v>
      </c>
      <c r="AC37" s="2207" t="s">
        <v>491</v>
      </c>
      <c r="AD37" s="2208"/>
      <c r="AE37" s="2208"/>
      <c r="AF37" s="2208"/>
      <c r="AG37" s="2208"/>
      <c r="AH37" s="2209"/>
      <c r="AI37" s="2210" t="s">
        <v>493</v>
      </c>
      <c r="AJ37" s="2213" t="s">
        <v>494</v>
      </c>
      <c r="AK37" s="1966"/>
    </row>
    <row customHeight="1" ht="33.75">
      <c r="Q38" s="377"/>
      <c r="R38" s="377"/>
      <c r="S38" s="2206"/>
      <c r="T38" s="2047"/>
      <c r="U38" s="1044"/>
      <c r="V38" s="1519" t="s">
        <v>2085</v>
      </c>
      <c r="W38" s="2195" t="s">
        <v>2086</v>
      </c>
      <c r="X38" s="2196"/>
      <c r="Y38" s="2195" t="s">
        <v>498</v>
      </c>
      <c r="Z38" s="2202"/>
      <c r="AA38" s="2196"/>
      <c r="AB38" s="2211"/>
      <c r="AC38" s="1519" t="s">
        <v>2085</v>
      </c>
      <c r="AD38" s="2195" t="s">
        <v>2086</v>
      </c>
      <c r="AE38" s="2196"/>
      <c r="AF38" s="2195" t="s">
        <v>498</v>
      </c>
      <c r="AG38" s="2202"/>
      <c r="AH38" s="2196"/>
      <c r="AI38" s="2211"/>
      <c r="AJ38" s="2214"/>
      <c r="AK38" s="1966"/>
    </row>
    <row customHeight="1" ht="86.25">
      <c r="A39" s="1406"/>
      <c r="B39" s="1406" t="s">
        <v>142</v>
      </c>
      <c r="C39" s="1406" t="s">
        <v>143</v>
      </c>
      <c r="D39" s="1406" t="s">
        <v>144</v>
      </c>
      <c r="E39" s="1400" t="s">
        <v>499</v>
      </c>
      <c r="F39" s="1400" t="s">
        <v>500</v>
      </c>
      <c r="G39" s="1400" t="s">
        <v>501</v>
      </c>
      <c r="H39" s="1400"/>
      <c r="I39" s="1400" t="s">
        <v>1686</v>
      </c>
      <c r="J39" s="1400" t="s">
        <v>504</v>
      </c>
      <c r="K39" s="1400" t="s">
        <v>1687</v>
      </c>
      <c r="L39" s="1400" t="s">
        <v>480</v>
      </c>
      <c r="Q39" s="377"/>
      <c r="R39" s="377"/>
      <c r="S39" s="2206"/>
      <c r="T39" s="2047"/>
      <c r="U39" s="290"/>
      <c r="V39" s="1519" t="s">
        <v>2087</v>
      </c>
      <c r="W39" s="1243" t="s">
        <v>2088</v>
      </c>
      <c r="X39" s="1243" t="s">
        <v>2089</v>
      </c>
      <c r="Y39" s="1525" t="s">
        <v>508</v>
      </c>
      <c r="Z39" s="2203" t="s">
        <v>509</v>
      </c>
      <c r="AA39" s="2204"/>
      <c r="AB39" s="2212"/>
      <c r="AC39" s="1519" t="s">
        <v>2087</v>
      </c>
      <c r="AD39" s="1243" t="s">
        <v>2088</v>
      </c>
      <c r="AE39" s="1243" t="s">
        <v>2089</v>
      </c>
      <c r="AF39" s="1525" t="s">
        <v>508</v>
      </c>
      <c r="AG39" s="2203" t="s">
        <v>509</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244</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130</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244</v>
      </c>
      <c r="B42" s="1399" t="s">
        <v>245</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462</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463</v>
      </c>
      <c r="AM42" s="508"/>
      <c r="AN42" s="508" t="str">
        <f>IF(T42="","",T42)</f>
        <v>Территория действия тарифа</v>
      </c>
      <c r="AO42" s="508"/>
      <c r="AP42" s="508"/>
    </row>
    <row customHeight="1" ht="23.25">
      <c r="A43" s="1399" t="s">
        <v>244</v>
      </c>
      <c r="B43" s="1399" t="s">
        <v>245</v>
      </c>
      <c r="C43" s="1399" t="s">
        <v>246</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2083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2084</v>
      </c>
      <c r="AM43" s="508"/>
      <c r="AN43" s="508" t="str">
        <f>IF(T43="","",T43)</f>
        <v>Наименование централизованной системы горячего водоснабжения</v>
      </c>
      <c r="AO43" s="508"/>
      <c r="AP43" s="508"/>
    </row>
    <row customHeight="1" ht="23.25">
      <c r="A44" s="1399" t="s">
        <v>244</v>
      </c>
      <c r="B44" s="1399" t="s">
        <v>245</v>
      </c>
      <c r="C44" s="1399" t="s">
        <v>246</v>
      </c>
      <c r="D44" s="1399" t="s">
        <v>2090</v>
      </c>
      <c r="E44" s="2192"/>
      <c r="F44" s="2192"/>
      <c r="G44" s="2192"/>
      <c r="H44" s="2192"/>
      <c r="I44" s="2189" t="str">
        <f>S43&amp;".1"</f>
        <v>...1</v>
      </c>
      <c r="J44" s="1399"/>
      <c r="K44" s="1399"/>
      <c r="L44" s="1400"/>
      <c r="P44" s="2190">
        <v>1</v>
      </c>
      <c r="Q44" s="1517"/>
      <c r="R44" s="352"/>
      <c r="S44" s="1529" t="str">
        <f>$I44</f>
        <v>...1</v>
      </c>
      <c r="T44" s="273" t="s">
        <v>1679</v>
      </c>
      <c r="U44" s="288"/>
      <c r="V44" s="2322"/>
      <c r="W44" s="2323"/>
      <c r="X44" s="2323"/>
      <c r="Y44" s="2323"/>
      <c r="Z44" s="2323"/>
      <c r="AA44" s="2323"/>
      <c r="AB44" s="2324"/>
      <c r="AC44" s="2325"/>
      <c r="AD44" s="2326"/>
      <c r="AE44" s="2326"/>
      <c r="AF44" s="2326"/>
      <c r="AG44" s="2326"/>
      <c r="AH44" s="2326"/>
      <c r="AI44" s="2326"/>
      <c r="AJ44" s="2327"/>
      <c r="AK44" s="1292" t="s">
        <v>1680</v>
      </c>
      <c r="AM44" s="508"/>
      <c r="AN44" s="508" t="str">
        <f>IF(T44="","",T44)</f>
        <v>Наименование признака дифференциации</v>
      </c>
      <c r="AO44" s="508"/>
      <c r="AP44" s="508"/>
    </row>
    <row customHeight="1" ht="23.25">
      <c r="A45" s="1399" t="s">
        <v>244</v>
      </c>
      <c r="B45" s="1399" t="s">
        <v>245</v>
      </c>
      <c r="C45" s="1399" t="s">
        <v>246</v>
      </c>
      <c r="D45" s="1399" t="s">
        <v>2090</v>
      </c>
      <c r="E45" s="2192"/>
      <c r="F45" s="2192"/>
      <c r="G45" s="2192"/>
      <c r="H45" s="2192"/>
      <c r="I45" s="2219"/>
      <c r="J45" s="2189" t="str">
        <f>I44&amp;".1"</f>
        <v>...1.1</v>
      </c>
      <c r="K45" s="1399"/>
      <c r="L45" s="1400" t="s">
        <v>471</v>
      </c>
      <c r="P45" s="2190"/>
      <c r="Q45" s="2190">
        <v>1</v>
      </c>
      <c r="R45" s="353"/>
      <c r="S45" s="1529" t="str">
        <f>$J45</f>
        <v>...1.1</v>
      </c>
      <c r="T45" s="274" t="s">
        <v>472</v>
      </c>
      <c r="U45" s="288"/>
      <c r="V45" s="2178"/>
      <c r="W45" s="2179"/>
      <c r="X45" s="2179"/>
      <c r="Y45" s="2179"/>
      <c r="Z45" s="2179"/>
      <c r="AA45" s="2179"/>
      <c r="AB45" s="2180"/>
      <c r="AC45" s="2178"/>
      <c r="AD45" s="2179"/>
      <c r="AE45" s="2179"/>
      <c r="AF45" s="2179"/>
      <c r="AG45" s="2179"/>
      <c r="AH45" s="2179"/>
      <c r="AI45" s="2179"/>
      <c r="AJ45" s="2180"/>
      <c r="AK45" s="1343" t="s">
        <v>1681</v>
      </c>
      <c r="AM45" s="508"/>
      <c r="AN45" s="508" t="str">
        <f>IF(T45="","",T45)</f>
        <v>Группа потребителей</v>
      </c>
      <c r="AO45" s="508"/>
      <c r="AP45" s="508"/>
    </row>
    <row customHeight="1" ht="23.25">
      <c r="A46" s="1399" t="s">
        <v>244</v>
      </c>
      <c r="B46" s="1399" t="s">
        <v>245</v>
      </c>
      <c r="C46" s="1399" t="s">
        <v>246</v>
      </c>
      <c r="D46" s="1399" t="s">
        <v>2090</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244</v>
      </c>
      <c r="B47" s="1399" t="s">
        <v>245</v>
      </c>
      <c r="C47" s="1399" t="s">
        <v>246</v>
      </c>
      <c r="D47" s="1399" t="s">
        <v>2090</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244</v>
      </c>
      <c r="B48" s="1399" t="s">
        <v>245</v>
      </c>
      <c r="C48" s="1399" t="s">
        <v>246</v>
      </c>
      <c r="D48" s="1399" t="s">
        <v>2090</v>
      </c>
      <c r="E48" s="2192"/>
      <c r="F48" s="2192"/>
      <c r="G48" s="2192"/>
      <c r="H48" s="2192"/>
      <c r="I48" s="2219"/>
      <c r="J48" s="2189"/>
      <c r="K48" s="1399"/>
      <c r="L48" s="1400"/>
      <c r="P48" s="2190"/>
      <c r="Q48" s="2190"/>
      <c r="R48" s="352"/>
      <c r="S48" s="1314"/>
      <c r="T48" s="275" t="s">
        <v>1682</v>
      </c>
      <c r="U48" s="367"/>
      <c r="V48" s="367"/>
      <c r="W48" s="367"/>
      <c r="X48" s="367"/>
      <c r="Y48" s="367"/>
      <c r="Z48" s="367"/>
      <c r="AA48" s="367"/>
      <c r="AB48" s="367"/>
      <c r="AC48" s="367"/>
      <c r="AD48" s="367"/>
      <c r="AE48" s="367"/>
      <c r="AF48" s="367"/>
      <c r="AG48" s="367"/>
      <c r="AH48" s="367"/>
      <c r="AI48" s="367"/>
      <c r="AJ48" s="367"/>
      <c r="AK48" s="1292" t="s">
        <v>1683</v>
      </c>
      <c r="AM48" s="508"/>
      <c r="AN48" s="508" t="str">
        <f>IF(T48="","",T48)</f>
        <v>Добавить значение признака дифференциации</v>
      </c>
      <c r="AO48" s="508"/>
      <c r="AP48" s="508"/>
    </row>
    <row customHeight="1" ht="21">
      <c r="A49" s="1399" t="s">
        <v>244</v>
      </c>
      <c r="B49" s="1399" t="s">
        <v>245</v>
      </c>
      <c r="C49" s="1399" t="s">
        <v>246</v>
      </c>
      <c r="D49" s="1399" t="s">
        <v>2090</v>
      </c>
      <c r="E49" s="2192"/>
      <c r="F49" s="2192"/>
      <c r="G49" s="2192"/>
      <c r="H49" s="2192"/>
      <c r="I49" s="2189"/>
      <c r="J49" s="1399"/>
      <c r="K49" s="1399"/>
      <c r="L49" s="1400"/>
      <c r="P49" s="2190"/>
      <c r="Q49" s="1517"/>
      <c r="R49" s="352"/>
      <c r="S49" s="1314"/>
      <c r="T49" s="364" t="s">
        <v>477</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244</v>
      </c>
      <c r="B50" s="1399" t="s">
        <v>245</v>
      </c>
      <c r="C50" s="1399" t="s">
        <v>246</v>
      </c>
      <c r="D50" s="1399" t="s">
        <v>2090</v>
      </c>
      <c r="E50" s="2192"/>
      <c r="F50" s="2192"/>
      <c r="G50" s="2192"/>
      <c r="H50" s="2191"/>
      <c r="I50" s="1399"/>
      <c r="J50" s="1399"/>
      <c r="K50" s="1399"/>
      <c r="L50" s="1400"/>
      <c r="M50" s="1401"/>
      <c r="N50" s="1401"/>
      <c r="O50" s="545"/>
      <c r="P50" s="356"/>
      <c r="Q50" s="376"/>
      <c r="R50" s="351"/>
      <c r="S50" s="1314"/>
      <c r="T50" s="372" t="s">
        <v>1684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9" customFormat="1" customHeight="1" ht="0">
      <c r="A51" s="1379" t="s">
        <v>244</v>
      </c>
      <c r="B51" s="1379" t="s">
        <v>245</v>
      </c>
      <c r="C51" s="1350"/>
      <c r="D51" s="1350"/>
      <c r="E51" s="2192"/>
      <c r="F51" s="2191"/>
      <c r="G51" s="1350"/>
      <c r="H51" s="1350"/>
      <c r="I51" s="1350"/>
      <c r="J51" s="1350"/>
      <c r="K51" s="1350"/>
      <c r="L51" s="1530"/>
      <c r="M51" s="1357"/>
      <c r="N51" s="1357"/>
      <c r="P51" s="1352"/>
      <c r="Q51" s="1353"/>
      <c r="R51" s="1352"/>
      <c r="S51" s="1358"/>
      <c r="T51" s="1361" t="s">
        <v>436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244</v>
      </c>
      <c r="B52" s="1379"/>
      <c r="C52" s="1379"/>
      <c r="D52" s="1379"/>
      <c r="E52" s="2191"/>
      <c r="F52" s="1379"/>
      <c r="G52" s="1379"/>
      <c r="H52" s="1379"/>
      <c r="I52" s="1379"/>
      <c r="J52" s="1379"/>
      <c r="K52" s="1379"/>
      <c r="L52" s="1382"/>
      <c r="M52" s="1357"/>
      <c r="N52" s="1357"/>
      <c r="O52" s="526"/>
      <c r="P52" s="385"/>
      <c r="Q52" s="1380"/>
      <c r="R52" s="385"/>
      <c r="S52" s="1358"/>
      <c r="T52" s="1361" t="s">
        <v>437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9"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510</v>
      </c>
      <c r="T55" s="2218" t="s">
        <v>2091</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510</v>
      </c>
      <c r="T57" s="2218" t="s">
        <v>2092</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352176-017D-1345-E91D-6E4E20E0EF2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59" width="10.57421875" hidden="1"/>
    <col min="2" max="2" style="3159" width="11.00390625" hidden="1" customWidth="1"/>
    <col min="3" max="3" style="3159" width="10.57421875" hidden="1"/>
    <col min="4" max="4" style="3159" width="11.8515625" hidden="1" customWidth="1"/>
    <col min="5" max="5" style="3159" width="10.00390625" hidden="1" customWidth="1"/>
    <col min="6" max="6" style="3159" width="8.7109375" hidden="1" customWidth="1"/>
    <col min="7" max="7" style="3159" width="7.57421875" hidden="1" customWidth="1"/>
    <col min="8" max="8" style="3159" width="11.421875" hidden="1" customWidth="1"/>
    <col min="9" max="9" style="3159" width="14.140625" hidden="1" customWidth="1"/>
    <col min="10" max="10" style="3159" width="9.8515625" hidden="1" customWidth="1"/>
    <col min="11" max="11" style="3159" width="14.7109375" hidden="1" customWidth="1"/>
    <col min="12" max="12" style="4990" width="19.140625" hidden="1" customWidth="1"/>
    <col min="13" max="14" style="3619" width="12.28125" hidden="1" customWidth="1"/>
    <col min="15" max="15" style="3619" width="23.421875" hidden="1" customWidth="1"/>
    <col min="16" max="16" style="4995" width="3.7109375" customWidth="1"/>
    <col min="17" max="18" style="3694" width="3.7109375" customWidth="1"/>
    <col min="19" max="19" style="3695" width="12.7109375" customWidth="1"/>
    <col min="20" max="20" style="2876" width="35.7109375" customWidth="1"/>
    <col min="21" max="21" style="2876" width="0.140625" customWidth="1"/>
    <col min="22" max="24" style="2876" width="24.7109375" hidden="1" customWidth="1"/>
    <col min="25" max="25" style="2876" width="11.7109375" hidden="1" customWidth="1"/>
    <col min="26" max="26" style="2876" width="3.7109375" hidden="1" customWidth="1"/>
    <col min="27" max="27" style="2876" width="11.7109375" hidden="1" customWidth="1"/>
    <col min="28" max="28" style="2876" width="8.57421875" hidden="1" customWidth="1"/>
    <col min="29" max="31" style="2876" width="24.7109375" customWidth="1"/>
    <col min="32" max="32" style="2876" width="11.7109375" customWidth="1"/>
    <col min="33" max="33" style="2876" width="3.7109375" customWidth="1"/>
    <col min="34" max="34" style="2876" width="11.7109375" customWidth="1"/>
    <col min="35" max="35" style="2876" width="8.57421875" hidden="1" customWidth="1"/>
    <col min="36" max="36" style="2876" width="4.7109375" customWidth="1"/>
    <col min="37" max="37" style="2876"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130</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462</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463</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2083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2084</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1679</v>
      </c>
      <c r="U5" s="288"/>
      <c r="V5" s="2322"/>
      <c r="W5" s="2323"/>
      <c r="X5" s="2323"/>
      <c r="Y5" s="2323"/>
      <c r="Z5" s="2323"/>
      <c r="AA5" s="2323"/>
      <c r="AB5" s="2324"/>
      <c r="AC5" s="2325"/>
      <c r="AD5" s="2326"/>
      <c r="AE5" s="2326"/>
      <c r="AF5" s="2326"/>
      <c r="AG5" s="2326"/>
      <c r="AH5" s="2326"/>
      <c r="AI5" s="2326"/>
      <c r="AJ5" s="2327"/>
      <c r="AK5" s="1292" t="s">
        <v>1680</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471</v>
      </c>
      <c r="P6" s="2190"/>
      <c r="Q6" s="2190">
        <v>1</v>
      </c>
      <c r="R6" s="353"/>
      <c r="S6" s="1529">
        <f>$J6</f>
      </c>
      <c r="T6" s="274" t="s">
        <v>472</v>
      </c>
      <c r="U6" s="288"/>
      <c r="V6" s="2178"/>
      <c r="W6" s="2179"/>
      <c r="X6" s="2179"/>
      <c r="Y6" s="2179"/>
      <c r="Z6" s="2179"/>
      <c r="AA6" s="2179"/>
      <c r="AB6" s="2180"/>
      <c r="AC6" s="2178"/>
      <c r="AD6" s="2179"/>
      <c r="AE6" s="2179"/>
      <c r="AF6" s="2179"/>
      <c r="AG6" s="2179"/>
      <c r="AH6" s="2179"/>
      <c r="AI6" s="2179"/>
      <c r="AJ6" s="2180"/>
      <c r="AK6" s="1343" t="s">
        <v>1681</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1682</v>
      </c>
      <c r="U9" s="367"/>
      <c r="V9" s="367"/>
      <c r="W9" s="367"/>
      <c r="X9" s="367"/>
      <c r="Y9" s="367"/>
      <c r="Z9" s="367"/>
      <c r="AA9" s="367"/>
      <c r="AB9" s="367"/>
      <c r="AC9" s="367"/>
      <c r="AD9" s="367"/>
      <c r="AE9" s="367"/>
      <c r="AF9" s="367"/>
      <c r="AG9" s="367"/>
      <c r="AH9" s="367"/>
      <c r="AI9" s="367"/>
      <c r="AJ9" s="367"/>
      <c r="AK9" s="1292" t="s">
        <v>1683</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477</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9"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59" customFormat="1" customHeight="1" ht="22.5" hidden="1">
      <c r="L18" s="1514"/>
      <c r="M18" s="1398"/>
      <c r="N18" s="1398"/>
      <c r="O18" s="1403" t="s">
        <v>479</v>
      </c>
      <c r="P18" s="1398"/>
      <c r="Q18" s="1407"/>
      <c r="R18" s="1407"/>
      <c r="S18" s="738"/>
      <c r="Y18" s="1403"/>
      <c r="AA18" s="1403"/>
      <c r="AB18" s="1402"/>
      <c r="AF18" s="1403"/>
      <c r="AH18" s="1403"/>
      <c r="AI18" s="1402"/>
      <c r="AL18" s="519"/>
      <c r="AM18" s="519"/>
      <c r="AN18" s="519"/>
      <c r="AO18" s="519"/>
      <c r="AP18" s="519"/>
    </row>
    <row s="3159" customFormat="1" customHeight="1" ht="14.25" hidden="1">
      <c r="L19" s="1514"/>
      <c r="M19" s="1398"/>
      <c r="N19" s="1398"/>
      <c r="O19" s="1398"/>
      <c r="P19" s="1398"/>
      <c r="Q19" s="1407"/>
      <c r="R19" s="1407"/>
      <c r="S19" s="738"/>
      <c r="AB19" s="1402"/>
      <c r="AI19" s="1402"/>
      <c r="AL19" s="519"/>
      <c r="AM19" s="519"/>
      <c r="AN19" s="519"/>
      <c r="AO19" s="519"/>
      <c r="AP19" s="519"/>
    </row>
    <row s="3159" customFormat="1" customHeight="1" ht="12" hidden="1">
      <c r="L20" s="1514"/>
      <c r="M20" s="1398"/>
      <c r="N20" s="1398"/>
      <c r="O20" s="1400" t="s">
        <v>480</v>
      </c>
      <c r="P20" s="1398"/>
      <c r="Q20" s="1478"/>
      <c r="R20" s="1478"/>
      <c r="S20" s="738"/>
      <c r="T20" s="1174" t="s">
        <v>481</v>
      </c>
      <c r="Z20" s="172" t="s">
        <v>482</v>
      </c>
      <c r="AB20" s="172" t="s">
        <v>483</v>
      </c>
      <c r="AC20" s="1174" t="s">
        <v>481</v>
      </c>
      <c r="AG20" s="172" t="s">
        <v>484</v>
      </c>
      <c r="AI20" s="172" t="s">
        <v>483</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"Уссурийск-Водоканал"</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8" customFormat="1" customHeight="1" ht="25.5" hidden="1">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8" customFormat="1" customHeight="1" ht="18.75" hidden="1">
      <c r="A28" s="1404"/>
      <c r="B28" s="1404"/>
      <c r="C28" s="1404"/>
      <c r="D28" s="1404"/>
      <c r="E28" s="1404"/>
      <c r="F28" s="1404"/>
      <c r="G28" s="1404"/>
      <c r="H28" s="1404"/>
      <c r="I28" s="1404"/>
      <c r="J28" s="1404"/>
      <c r="K28" s="1404"/>
      <c r="L28" s="1405"/>
      <c r="M28" s="1404"/>
      <c r="N28" s="1404"/>
      <c r="O28" s="1404"/>
      <c r="S28" s="2183" t="s">
        <v>485</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8" customFormat="1" customHeight="1" ht="18.75" hidden="1">
      <c r="A29" s="1404"/>
      <c r="B29" s="1404"/>
      <c r="C29" s="1404"/>
      <c r="D29" s="1404"/>
      <c r="E29" s="1404"/>
      <c r="F29" s="1404"/>
      <c r="G29" s="1404"/>
      <c r="H29" s="1404"/>
      <c r="I29" s="1404"/>
      <c r="J29" s="1404"/>
      <c r="K29" s="1404"/>
      <c r="L29" s="1405"/>
      <c r="M29" s="1404"/>
      <c r="N29" s="1404"/>
      <c r="O29" s="1404"/>
      <c r="S29" s="2183" t="s">
        <v>486</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8" customFormat="1" customHeight="1" ht="18.75" hidden="1">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8" customFormat="1" customHeight="1" ht="18.75" hidden="1">
      <c r="A32" s="1404"/>
      <c r="B32" s="1404"/>
      <c r="C32" s="1404"/>
      <c r="D32" s="1404"/>
      <c r="E32" s="1404"/>
      <c r="F32" s="1404"/>
      <c r="G32" s="1404"/>
      <c r="H32" s="1404"/>
      <c r="I32" s="1404"/>
      <c r="J32" s="1404"/>
      <c r="K32" s="1404"/>
      <c r="L32" s="1405"/>
      <c r="M32" s="1404"/>
      <c r="N32" s="1404"/>
      <c r="O32" s="1404"/>
      <c r="S32" s="2183" t="s">
        <v>487</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8" customFormat="1" customHeight="1" ht="18.75" hidden="1">
      <c r="A33" s="1404"/>
      <c r="B33" s="1404"/>
      <c r="C33" s="1404"/>
      <c r="D33" s="1404"/>
      <c r="E33" s="1404"/>
      <c r="F33" s="1404"/>
      <c r="G33" s="1404"/>
      <c r="H33" s="1404"/>
      <c r="I33" s="1404"/>
      <c r="J33" s="1404"/>
      <c r="K33" s="1404"/>
      <c r="L33" s="1405"/>
      <c r="M33" s="1404"/>
      <c r="N33" s="1404"/>
      <c r="O33" s="1404"/>
      <c r="S33" s="2183" t="s">
        <v>488</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8"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489</v>
      </c>
      <c r="AC34" s="322"/>
      <c r="AD34" s="322"/>
      <c r="AE34" s="322"/>
      <c r="AF34" s="322"/>
      <c r="AG34" s="322"/>
      <c r="AH34" s="322"/>
      <c r="AI34" s="266" t="s">
        <v>489</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490</v>
      </c>
      <c r="U37" s="289"/>
      <c r="V37" s="2207" t="s">
        <v>491</v>
      </c>
      <c r="W37" s="2208"/>
      <c r="X37" s="2208"/>
      <c r="Y37" s="2208"/>
      <c r="Z37" s="2208"/>
      <c r="AA37" s="2209"/>
      <c r="AB37" s="2210" t="s">
        <v>492</v>
      </c>
      <c r="AC37" s="2207" t="s">
        <v>491</v>
      </c>
      <c r="AD37" s="2208"/>
      <c r="AE37" s="2208"/>
      <c r="AF37" s="2208"/>
      <c r="AG37" s="2208"/>
      <c r="AH37" s="2209"/>
      <c r="AI37" s="2210" t="s">
        <v>493</v>
      </c>
      <c r="AJ37" s="2213" t="s">
        <v>494</v>
      </c>
      <c r="AK37" s="1966"/>
    </row>
    <row customHeight="1" ht="33.75">
      <c r="Q38" s="377"/>
      <c r="R38" s="377"/>
      <c r="S38" s="2206"/>
      <c r="T38" s="2047"/>
      <c r="U38" s="1044"/>
      <c r="V38" s="1519" t="s">
        <v>2085</v>
      </c>
      <c r="W38" s="2195" t="s">
        <v>2086</v>
      </c>
      <c r="X38" s="2196"/>
      <c r="Y38" s="2195" t="s">
        <v>498</v>
      </c>
      <c r="Z38" s="2202"/>
      <c r="AA38" s="2196"/>
      <c r="AB38" s="2211"/>
      <c r="AC38" s="1519" t="s">
        <v>2085</v>
      </c>
      <c r="AD38" s="2195" t="s">
        <v>2086</v>
      </c>
      <c r="AE38" s="2196"/>
      <c r="AF38" s="2195" t="s">
        <v>498</v>
      </c>
      <c r="AG38" s="2202"/>
      <c r="AH38" s="2196"/>
      <c r="AI38" s="2211"/>
      <c r="AJ38" s="2214"/>
      <c r="AK38" s="1966"/>
    </row>
    <row customHeight="1" ht="86.25">
      <c r="A39" s="1406"/>
      <c r="B39" s="1406" t="s">
        <v>142</v>
      </c>
      <c r="C39" s="1406" t="s">
        <v>143</v>
      </c>
      <c r="D39" s="1406" t="s">
        <v>144</v>
      </c>
      <c r="E39" s="1400" t="s">
        <v>499</v>
      </c>
      <c r="F39" s="1400" t="s">
        <v>500</v>
      </c>
      <c r="G39" s="1400" t="s">
        <v>501</v>
      </c>
      <c r="H39" s="1400"/>
      <c r="I39" s="1400" t="s">
        <v>1686</v>
      </c>
      <c r="J39" s="1400" t="s">
        <v>504</v>
      </c>
      <c r="K39" s="1400" t="s">
        <v>1687</v>
      </c>
      <c r="L39" s="1400" t="s">
        <v>480</v>
      </c>
      <c r="Q39" s="377"/>
      <c r="R39" s="377"/>
      <c r="S39" s="2206"/>
      <c r="T39" s="2047"/>
      <c r="U39" s="290"/>
      <c r="V39" s="1519" t="s">
        <v>2087</v>
      </c>
      <c r="W39" s="1243" t="s">
        <v>2088</v>
      </c>
      <c r="X39" s="1243" t="s">
        <v>2089</v>
      </c>
      <c r="Y39" s="1525" t="s">
        <v>508</v>
      </c>
      <c r="Z39" s="2203" t="s">
        <v>509</v>
      </c>
      <c r="AA39" s="2204"/>
      <c r="AB39" s="2212"/>
      <c r="AC39" s="1519" t="s">
        <v>2087</v>
      </c>
      <c r="AD39" s="1243" t="s">
        <v>2088</v>
      </c>
      <c r="AE39" s="1243" t="s">
        <v>2089</v>
      </c>
      <c r="AF39" s="1525" t="s">
        <v>508</v>
      </c>
      <c r="AG39" s="2203" t="s">
        <v>509</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244</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130</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244</v>
      </c>
      <c r="B42" s="1399" t="s">
        <v>245</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462</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463</v>
      </c>
      <c r="AM42" s="508"/>
      <c r="AN42" s="508" t="str">
        <f>IF(T42="","",T42)</f>
        <v>Территория действия тарифа</v>
      </c>
      <c r="AO42" s="508"/>
      <c r="AP42" s="508"/>
    </row>
    <row customHeight="1" ht="23.25">
      <c r="A43" s="1399" t="s">
        <v>244</v>
      </c>
      <c r="B43" s="1399" t="s">
        <v>245</v>
      </c>
      <c r="C43" s="1399" t="s">
        <v>246</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2083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2084</v>
      </c>
      <c r="AM43" s="508"/>
      <c r="AN43" s="508" t="str">
        <f>IF(T43="","",T43)</f>
        <v>Наименование централизованной системы горячего водоснабжения</v>
      </c>
      <c r="AO43" s="508"/>
      <c r="AP43" s="508"/>
    </row>
    <row customHeight="1" ht="23.25">
      <c r="A44" s="1399" t="s">
        <v>244</v>
      </c>
      <c r="B44" s="1399" t="s">
        <v>245</v>
      </c>
      <c r="C44" s="1399" t="s">
        <v>246</v>
      </c>
      <c r="D44" s="1399" t="s">
        <v>2090</v>
      </c>
      <c r="E44" s="2192"/>
      <c r="F44" s="2192"/>
      <c r="G44" s="2192"/>
      <c r="H44" s="2192"/>
      <c r="I44" s="2189" t="str">
        <f>S43&amp;".1"</f>
        <v>...1</v>
      </c>
      <c r="J44" s="1399"/>
      <c r="K44" s="1399"/>
      <c r="L44" s="1400"/>
      <c r="P44" s="2190">
        <v>1</v>
      </c>
      <c r="Q44" s="1517"/>
      <c r="R44" s="352"/>
      <c r="S44" s="1529" t="str">
        <f>$I44</f>
        <v>...1</v>
      </c>
      <c r="T44" s="273" t="s">
        <v>1679</v>
      </c>
      <c r="U44" s="288"/>
      <c r="V44" s="2322"/>
      <c r="W44" s="2323"/>
      <c r="X44" s="2323"/>
      <c r="Y44" s="2323"/>
      <c r="Z44" s="2323"/>
      <c r="AA44" s="2323"/>
      <c r="AB44" s="2324"/>
      <c r="AC44" s="2325"/>
      <c r="AD44" s="2326"/>
      <c r="AE44" s="2326"/>
      <c r="AF44" s="2326"/>
      <c r="AG44" s="2326"/>
      <c r="AH44" s="2326"/>
      <c r="AI44" s="2326"/>
      <c r="AJ44" s="2327"/>
      <c r="AK44" s="1292" t="s">
        <v>1680</v>
      </c>
      <c r="AM44" s="508"/>
      <c r="AN44" s="508" t="str">
        <f>IF(T44="","",T44)</f>
        <v>Наименование признака дифференциации</v>
      </c>
      <c r="AO44" s="508"/>
      <c r="AP44" s="508"/>
    </row>
    <row customHeight="1" ht="23.25">
      <c r="A45" s="1399" t="s">
        <v>244</v>
      </c>
      <c r="B45" s="1399" t="s">
        <v>245</v>
      </c>
      <c r="C45" s="1399" t="s">
        <v>246</v>
      </c>
      <c r="D45" s="1399" t="s">
        <v>2090</v>
      </c>
      <c r="E45" s="2192"/>
      <c r="F45" s="2192"/>
      <c r="G45" s="2192"/>
      <c r="H45" s="2192"/>
      <c r="I45" s="2219"/>
      <c r="J45" s="2189" t="str">
        <f>I44&amp;".1"</f>
        <v>...1.1</v>
      </c>
      <c r="K45" s="1399"/>
      <c r="L45" s="1400" t="s">
        <v>471</v>
      </c>
      <c r="P45" s="2190"/>
      <c r="Q45" s="2190">
        <v>1</v>
      </c>
      <c r="R45" s="353"/>
      <c r="S45" s="1529" t="str">
        <f>$J45</f>
        <v>...1.1</v>
      </c>
      <c r="T45" s="274" t="s">
        <v>472</v>
      </c>
      <c r="U45" s="288"/>
      <c r="V45" s="2178"/>
      <c r="W45" s="2179"/>
      <c r="X45" s="2179"/>
      <c r="Y45" s="2179"/>
      <c r="Z45" s="2179"/>
      <c r="AA45" s="2179"/>
      <c r="AB45" s="2180"/>
      <c r="AC45" s="2178"/>
      <c r="AD45" s="2179"/>
      <c r="AE45" s="2179"/>
      <c r="AF45" s="2179"/>
      <c r="AG45" s="2179"/>
      <c r="AH45" s="2179"/>
      <c r="AI45" s="2179"/>
      <c r="AJ45" s="2180"/>
      <c r="AK45" s="1343" t="s">
        <v>1681</v>
      </c>
      <c r="AM45" s="508"/>
      <c r="AN45" s="508" t="str">
        <f>IF(T45="","",T45)</f>
        <v>Группа потребителей</v>
      </c>
      <c r="AO45" s="508"/>
      <c r="AP45" s="508"/>
    </row>
    <row customHeight="1" ht="23.25">
      <c r="A46" s="1399" t="s">
        <v>244</v>
      </c>
      <c r="B46" s="1399" t="s">
        <v>245</v>
      </c>
      <c r="C46" s="1399" t="s">
        <v>246</v>
      </c>
      <c r="D46" s="1399" t="s">
        <v>2090</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244</v>
      </c>
      <c r="B47" s="1399" t="s">
        <v>245</v>
      </c>
      <c r="C47" s="1399" t="s">
        <v>246</v>
      </c>
      <c r="D47" s="1399" t="s">
        <v>2090</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244</v>
      </c>
      <c r="B48" s="1399" t="s">
        <v>245</v>
      </c>
      <c r="C48" s="1399" t="s">
        <v>246</v>
      </c>
      <c r="D48" s="1399" t="s">
        <v>2090</v>
      </c>
      <c r="E48" s="2192"/>
      <c r="F48" s="2192"/>
      <c r="G48" s="2192"/>
      <c r="H48" s="2192"/>
      <c r="I48" s="2219"/>
      <c r="J48" s="2189"/>
      <c r="K48" s="1399"/>
      <c r="L48" s="1400"/>
      <c r="P48" s="2190"/>
      <c r="Q48" s="2190"/>
      <c r="R48" s="352"/>
      <c r="S48" s="1314"/>
      <c r="T48" s="275" t="s">
        <v>1682</v>
      </c>
      <c r="U48" s="367"/>
      <c r="V48" s="367"/>
      <c r="W48" s="367"/>
      <c r="X48" s="367"/>
      <c r="Y48" s="367"/>
      <c r="Z48" s="367"/>
      <c r="AA48" s="367"/>
      <c r="AB48" s="367"/>
      <c r="AC48" s="367"/>
      <c r="AD48" s="367"/>
      <c r="AE48" s="367"/>
      <c r="AF48" s="367"/>
      <c r="AG48" s="367"/>
      <c r="AH48" s="367"/>
      <c r="AI48" s="367"/>
      <c r="AJ48" s="367"/>
      <c r="AK48" s="1292" t="s">
        <v>1683</v>
      </c>
      <c r="AM48" s="508"/>
      <c r="AN48" s="508" t="str">
        <f>IF(T48="","",T48)</f>
        <v>Добавить значение признака дифференциации</v>
      </c>
      <c r="AO48" s="508"/>
      <c r="AP48" s="508"/>
    </row>
    <row customHeight="1" ht="21">
      <c r="A49" s="1399" t="s">
        <v>244</v>
      </c>
      <c r="B49" s="1399" t="s">
        <v>245</v>
      </c>
      <c r="C49" s="1399" t="s">
        <v>246</v>
      </c>
      <c r="D49" s="1399" t="s">
        <v>2090</v>
      </c>
      <c r="E49" s="2192"/>
      <c r="F49" s="2192"/>
      <c r="G49" s="2192"/>
      <c r="H49" s="2192"/>
      <c r="I49" s="2189"/>
      <c r="J49" s="1399"/>
      <c r="K49" s="1399"/>
      <c r="L49" s="1400"/>
      <c r="P49" s="2190"/>
      <c r="Q49" s="1517"/>
      <c r="R49" s="352"/>
      <c r="S49" s="1314"/>
      <c r="T49" s="364" t="s">
        <v>477</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244</v>
      </c>
      <c r="B50" s="1399" t="s">
        <v>245</v>
      </c>
      <c r="C50" s="1399" t="s">
        <v>246</v>
      </c>
      <c r="D50" s="1399" t="s">
        <v>2090</v>
      </c>
      <c r="E50" s="2192"/>
      <c r="F50" s="2192"/>
      <c r="G50" s="2192"/>
      <c r="H50" s="2191"/>
      <c r="I50" s="1399"/>
      <c r="J50" s="1399"/>
      <c r="K50" s="1399"/>
      <c r="L50" s="1400"/>
      <c r="M50" s="1401"/>
      <c r="N50" s="1401"/>
      <c r="O50" s="545"/>
      <c r="P50" s="356"/>
      <c r="Q50" s="376"/>
      <c r="R50" s="351"/>
      <c r="S50" s="1314"/>
      <c r="T50" s="372" t="s">
        <v>1684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9" customFormat="1" customHeight="1" ht="0">
      <c r="A51" s="1379" t="s">
        <v>244</v>
      </c>
      <c r="B51" s="1379" t="s">
        <v>245</v>
      </c>
      <c r="C51" s="1350"/>
      <c r="D51" s="1350"/>
      <c r="E51" s="2192"/>
      <c r="F51" s="2191"/>
      <c r="G51" s="1350"/>
      <c r="H51" s="1350"/>
      <c r="I51" s="1350"/>
      <c r="J51" s="1350"/>
      <c r="K51" s="1350"/>
      <c r="L51" s="1530"/>
      <c r="M51" s="1357"/>
      <c r="N51" s="1357"/>
      <c r="P51" s="1352"/>
      <c r="Q51" s="1353"/>
      <c r="R51" s="1352"/>
      <c r="S51" s="1358"/>
      <c r="T51" s="1361" t="s">
        <v>436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244</v>
      </c>
      <c r="B52" s="1379"/>
      <c r="C52" s="1379"/>
      <c r="D52" s="1379"/>
      <c r="E52" s="2191"/>
      <c r="F52" s="1379"/>
      <c r="G52" s="1379"/>
      <c r="H52" s="1379"/>
      <c r="I52" s="1379"/>
      <c r="J52" s="1379"/>
      <c r="K52" s="1379"/>
      <c r="L52" s="1382"/>
      <c r="M52" s="1357"/>
      <c r="N52" s="1357"/>
      <c r="O52" s="526"/>
      <c r="P52" s="385"/>
      <c r="Q52" s="1380"/>
      <c r="R52" s="385"/>
      <c r="S52" s="1358"/>
      <c r="T52" s="1361" t="s">
        <v>437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9"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510</v>
      </c>
      <c r="T55" s="2218" t="s">
        <v>2091</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510</v>
      </c>
      <c r="T57" s="2218" t="s">
        <v>2092</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195C6-18C9-D6D5-33AB-17DB9A683287}"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59" width="11.57421875" hidden="1" customWidth="1"/>
    <col min="2" max="2" style="3159" width="11.00390625" hidden="1" customWidth="1"/>
    <col min="3" max="3" style="3159" width="10.57421875" hidden="1"/>
    <col min="4" max="4" style="3159" width="12.8515625" hidden="1" customWidth="1"/>
    <col min="5" max="5" style="3159" width="10.00390625" hidden="1" customWidth="1"/>
    <col min="6" max="6" style="3159" width="8.7109375" hidden="1" customWidth="1"/>
    <col min="7" max="7" style="3159" width="7.57421875" hidden="1" customWidth="1"/>
    <col min="8" max="8" style="3159" width="11.421875" hidden="1" customWidth="1"/>
    <col min="9" max="9" style="3159" width="12.00390625" hidden="1" customWidth="1"/>
    <col min="10" max="10" style="3159" width="9.8515625" hidden="1" customWidth="1"/>
    <col min="11" max="11" style="3159" width="11.421875" hidden="1" customWidth="1"/>
    <col min="12" max="12" style="4990" width="19.140625" hidden="1" customWidth="1"/>
    <col min="13" max="14" style="3619" width="12.28125" hidden="1" customWidth="1"/>
    <col min="15" max="15" style="3619" width="23.421875" hidden="1" customWidth="1"/>
    <col min="16" max="16" style="3619" width="3.7109375" hidden="1" customWidth="1"/>
    <col min="17" max="17" style="3621" width="3.7109375" hidden="1" customWidth="1"/>
    <col min="18" max="18" style="3694" width="3.7109375" customWidth="1"/>
    <col min="19" max="19" style="3695" width="12.7109375" customWidth="1"/>
    <col min="20" max="20" style="2876" width="32.00390625" customWidth="1"/>
    <col min="21" max="21" style="2876" width="0.140625" customWidth="1"/>
    <col min="22" max="25" style="2876" width="21.7109375" hidden="1" customWidth="1"/>
    <col min="26" max="26" style="2876" width="11.7109375" hidden="1" customWidth="1"/>
    <col min="27" max="27" style="2876" width="3.7109375" hidden="1" customWidth="1"/>
    <col min="28" max="28" style="2876" width="11.7109375" hidden="1" customWidth="1"/>
    <col min="29" max="29" style="2876" width="8.57421875" hidden="1" customWidth="1"/>
    <col min="30" max="32" style="2876" width="3.7109375" customWidth="1"/>
    <col min="33" max="33" style="2876" width="24.7109375" customWidth="1"/>
    <col min="34" max="36" style="2876" width="3.7109375" customWidth="1"/>
    <col min="37" max="37" style="2876" width="24.7109375" customWidth="1"/>
    <col min="38" max="40" style="2876" width="3.7109375" customWidth="1"/>
    <col min="41" max="41" style="2876" width="18.8515625" customWidth="1"/>
    <col min="42" max="44" style="2876" width="3.7109375" customWidth="1"/>
    <col min="45" max="45" style="2876" width="18.8515625" customWidth="1"/>
    <col min="46" max="49" style="2876" width="21.7109375" customWidth="1"/>
    <col min="50" max="50" style="2876" width="11.7109375" customWidth="1"/>
    <col min="51" max="51" style="2876" width="3.7109375" customWidth="1"/>
    <col min="52" max="52" style="2876" width="11.7109375" customWidth="1"/>
    <col min="53" max="53" style="2876" width="8.57421875" hidden="1" customWidth="1"/>
    <col min="54" max="54" style="2876" width="4.7109375" customWidth="1"/>
    <col min="55" max="55" style="2876"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130</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462</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463</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2083</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2084</v>
      </c>
      <c r="BE4" s="508"/>
      <c r="BF4" s="508" t="str">
        <f>IF(T4="","",T4)</f>
        <v>Наименование централизованной системы горячего водоснабжения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467</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468</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58</v>
      </c>
      <c r="AB8" s="1780"/>
      <c r="AC8" s="1505" t="s">
        <v>58</v>
      </c>
      <c r="AD8" s="2022" t="s">
        <v>58</v>
      </c>
      <c r="AE8" s="2251"/>
      <c r="AF8" s="2042">
        <v>1</v>
      </c>
      <c r="AG8" s="2335"/>
      <c r="AH8" s="1946" t="s">
        <v>58</v>
      </c>
      <c r="AI8" s="2251"/>
      <c r="AJ8" s="2042">
        <v>1</v>
      </c>
      <c r="AK8" s="2334" t="s">
        <v>18</v>
      </c>
      <c r="AL8" s="1946" t="s">
        <v>58</v>
      </c>
      <c r="AM8" s="2029"/>
      <c r="AN8" s="2042">
        <v>1</v>
      </c>
      <c r="AO8" s="2328"/>
      <c r="AP8" s="2329" t="s">
        <v>58</v>
      </c>
      <c r="AQ8" s="301"/>
      <c r="AR8" s="1522">
        <v>1</v>
      </c>
      <c r="AS8" s="1528" t="s">
        <v>18</v>
      </c>
      <c r="AT8" s="760"/>
      <c r="AU8" s="1291"/>
      <c r="AV8" s="760"/>
      <c r="AW8" s="1291"/>
      <c r="AX8" s="1780"/>
      <c r="AY8" s="1505" t="s">
        <v>58</v>
      </c>
      <c r="AZ8" s="1780"/>
      <c r="BA8" s="1505" t="s">
        <v>58</v>
      </c>
      <c r="BB8" s="1384"/>
      <c r="BC8" s="2186" t="s">
        <v>1697</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1698</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1699</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1700</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1701</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542</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599"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599"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436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437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479</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7" customFormat="1" customHeight="1" ht="14.25" hidden="1">
      <c r="M24" s="1544"/>
      <c r="N24" s="1544"/>
      <c r="O24" s="1545" t="s">
        <v>480</v>
      </c>
      <c r="P24" s="1544"/>
      <c r="Q24" s="1546"/>
      <c r="R24" s="1546"/>
      <c r="AA24" s="1543" t="s">
        <v>482</v>
      </c>
      <c r="AC24" s="1543" t="s">
        <v>483</v>
      </c>
      <c r="AD24" s="1543" t="s">
        <v>543</v>
      </c>
      <c r="AH24" s="1543" t="s">
        <v>543</v>
      </c>
      <c r="AK24" s="1543" t="s">
        <v>1702</v>
      </c>
      <c r="AL24" s="1543" t="s">
        <v>543</v>
      </c>
      <c r="AP24" s="1543" t="s">
        <v>543</v>
      </c>
      <c r="AY24" s="1543" t="s">
        <v>482</v>
      </c>
      <c r="BA24" s="1543" t="s">
        <v>483</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"Уссурийск-Водоканал"</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28"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28"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485</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28"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486</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28"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40</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28"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485</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28"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486</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28"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489</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489</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293</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294</v>
      </c>
    </row>
    <row customHeight="1" ht="14.25">
      <c r="Q41" s="279"/>
      <c r="R41" s="377"/>
      <c r="S41" s="2206" t="s">
        <v>88</v>
      </c>
      <c r="T41" s="2047" t="s">
        <v>1703</v>
      </c>
      <c r="U41" s="289"/>
      <c r="V41" s="2207" t="s">
        <v>491</v>
      </c>
      <c r="W41" s="2208"/>
      <c r="X41" s="2208"/>
      <c r="Y41" s="2208"/>
      <c r="Z41" s="2208"/>
      <c r="AA41" s="2208"/>
      <c r="AB41" s="2209"/>
      <c r="AC41" s="2210" t="s">
        <v>492</v>
      </c>
      <c r="AD41" s="2253" t="s">
        <v>1704</v>
      </c>
      <c r="AE41" s="2222"/>
      <c r="AF41" s="2222"/>
      <c r="AG41" s="2254"/>
      <c r="AH41" s="2253" t="s">
        <v>1705</v>
      </c>
      <c r="AI41" s="2222"/>
      <c r="AJ41" s="2222"/>
      <c r="AK41" s="2254"/>
      <c r="AL41" s="2253" t="s">
        <v>1706</v>
      </c>
      <c r="AM41" s="2222"/>
      <c r="AN41" s="2222"/>
      <c r="AO41" s="2254"/>
      <c r="AP41" s="2253" t="s">
        <v>1707</v>
      </c>
      <c r="AQ41" s="2222"/>
      <c r="AR41" s="2222"/>
      <c r="AS41" s="2254"/>
      <c r="AT41" s="2207" t="s">
        <v>491</v>
      </c>
      <c r="AU41" s="2208"/>
      <c r="AV41" s="2208"/>
      <c r="AW41" s="2208"/>
      <c r="AX41" s="2208"/>
      <c r="AY41" s="2208"/>
      <c r="AZ41" s="2209"/>
      <c r="BA41" s="2210" t="s">
        <v>492</v>
      </c>
      <c r="BB41" s="2213" t="s">
        <v>494</v>
      </c>
      <c r="BC41" s="1966"/>
    </row>
    <row customHeight="1" ht="33.75">
      <c r="Q42" s="279"/>
      <c r="R42" s="377"/>
      <c r="S42" s="2206"/>
      <c r="T42" s="2047"/>
      <c r="U42" s="1044"/>
      <c r="V42" s="2029" t="s">
        <v>1708</v>
      </c>
      <c r="W42" s="2030"/>
      <c r="X42" s="2029" t="s">
        <v>1709</v>
      </c>
      <c r="Y42" s="2030"/>
      <c r="Z42" s="2225" t="s">
        <v>1710</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1708</v>
      </c>
      <c r="AU42" s="2030"/>
      <c r="AV42" s="2029" t="s">
        <v>1709</v>
      </c>
      <c r="AW42" s="2030"/>
      <c r="AX42" s="2225" t="s">
        <v>1710</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142</v>
      </c>
      <c r="C44" s="1406" t="s">
        <v>143</v>
      </c>
      <c r="D44" s="1406" t="s">
        <v>144</v>
      </c>
      <c r="E44" s="1400" t="s">
        <v>499</v>
      </c>
      <c r="F44" s="1400" t="s">
        <v>500</v>
      </c>
      <c r="G44" s="1400" t="s">
        <v>501</v>
      </c>
      <c r="H44" s="1400" t="s">
        <v>502</v>
      </c>
      <c r="I44" s="1400" t="s">
        <v>503</v>
      </c>
      <c r="J44" s="1400" t="s">
        <v>504</v>
      </c>
      <c r="K44" s="1400" t="s">
        <v>505</v>
      </c>
      <c r="L44" s="1400" t="s">
        <v>480</v>
      </c>
      <c r="Q44" s="279"/>
      <c r="R44" s="377"/>
      <c r="S44" s="2206"/>
      <c r="T44" s="2047"/>
      <c r="U44" s="290"/>
      <c r="V44" s="1515" t="s">
        <v>553</v>
      </c>
      <c r="W44" s="1515" t="s">
        <v>554</v>
      </c>
      <c r="X44" s="1515" t="s">
        <v>553</v>
      </c>
      <c r="Y44" s="1515" t="s">
        <v>554</v>
      </c>
      <c r="Z44" s="1525" t="s">
        <v>508</v>
      </c>
      <c r="AA44" s="2203" t="s">
        <v>509</v>
      </c>
      <c r="AB44" s="2204"/>
      <c r="AC44" s="2212"/>
      <c r="AD44" s="2258"/>
      <c r="AE44" s="2259"/>
      <c r="AF44" s="2259"/>
      <c r="AG44" s="2260"/>
      <c r="AH44" s="2258"/>
      <c r="AI44" s="2259"/>
      <c r="AJ44" s="2259"/>
      <c r="AK44" s="2260"/>
      <c r="AL44" s="2258"/>
      <c r="AM44" s="2259"/>
      <c r="AN44" s="2259"/>
      <c r="AO44" s="2260"/>
      <c r="AP44" s="2258"/>
      <c r="AQ44" s="2259"/>
      <c r="AR44" s="2259"/>
      <c r="AS44" s="2260"/>
      <c r="AT44" s="1515" t="s">
        <v>553</v>
      </c>
      <c r="AU44" s="1515" t="s">
        <v>554</v>
      </c>
      <c r="AV44" s="1515" t="s">
        <v>553</v>
      </c>
      <c r="AW44" s="1515" t="s">
        <v>554</v>
      </c>
      <c r="AX44" s="1525" t="s">
        <v>508</v>
      </c>
      <c r="AY44" s="2203" t="s">
        <v>509</v>
      </c>
      <c r="AZ44" s="2204"/>
      <c r="BA44" s="2212"/>
      <c r="BB44" s="2215"/>
      <c r="BC44" s="1966"/>
    </row>
    <row s="2586"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254</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130</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254</v>
      </c>
      <c r="B47" s="1399" t="s">
        <v>255</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462</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463</v>
      </c>
      <c r="BE47" s="508"/>
      <c r="BF47" s="508" t="str">
        <f>IF(T47="","",T47)</f>
        <v>Территория действия тарифа</v>
      </c>
      <c r="BG47" s="508"/>
      <c r="BH47" s="508"/>
    </row>
    <row customHeight="1" ht="33.75">
      <c r="A48" s="1399" t="s">
        <v>254</v>
      </c>
      <c r="B48" s="1399" t="s">
        <v>255</v>
      </c>
      <c r="C48" s="1399" t="s">
        <v>256</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2083</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2084</v>
      </c>
      <c r="BE48" s="508"/>
      <c r="BF48" s="508" t="str">
        <f>IF(T48="","",T48)</f>
        <v>Наименование централизованной системы горячего водоснабжения</v>
      </c>
      <c r="BG48" s="508"/>
      <c r="BH48" s="508"/>
    </row>
    <row s="2587" customFormat="1" customHeight="1" ht="0">
      <c r="A49" s="1379" t="s">
        <v>254</v>
      </c>
      <c r="B49" s="1379" t="s">
        <v>255</v>
      </c>
      <c r="C49" s="1379" t="s">
        <v>256</v>
      </c>
      <c r="D49" s="1379" t="s">
        <v>2093</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467</v>
      </c>
      <c r="BE49" s="508"/>
      <c r="BF49" s="508" t="str">
        <f>IF(T49="","",T49)</f>
        <v/>
      </c>
      <c r="BG49" s="508"/>
      <c r="BH49" s="508"/>
    </row>
    <row s="2587" customFormat="1" customHeight="1" ht="0">
      <c r="A50" s="1379" t="s">
        <v>254</v>
      </c>
      <c r="B50" s="1379" t="s">
        <v>255</v>
      </c>
      <c r="C50" s="1379" t="s">
        <v>256</v>
      </c>
      <c r="D50" s="1379" t="s">
        <v>2093</v>
      </c>
      <c r="E50" s="2192"/>
      <c r="F50" s="2192"/>
      <c r="G50" s="2192"/>
      <c r="H50" s="2192"/>
      <c r="I50" s="2189" t="str">
        <f>S49&amp;".1"</f>
        <v>.1</v>
      </c>
      <c r="J50" s="1379"/>
      <c r="K50" s="1379"/>
      <c r="L50" s="1382" t="s">
        <v>468</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254</v>
      </c>
      <c r="B51" s="1379" t="s">
        <v>255</v>
      </c>
      <c r="C51" s="1379" t="s">
        <v>256</v>
      </c>
      <c r="D51" s="1379" t="s">
        <v>2093</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254</v>
      </c>
      <c r="B52" s="1399" t="s">
        <v>255</v>
      </c>
      <c r="C52" s="1399" t="s">
        <v>256</v>
      </c>
      <c r="D52" s="1399" t="s">
        <v>2093</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58</v>
      </c>
      <c r="AB52" s="1780"/>
      <c r="AC52" s="1505" t="s">
        <v>58</v>
      </c>
      <c r="AD52" s="2022" t="s">
        <v>58</v>
      </c>
      <c r="AE52" s="2251"/>
      <c r="AF52" s="2042">
        <v>1</v>
      </c>
      <c r="AG52" s="2335"/>
      <c r="AH52" s="1946" t="s">
        <v>58</v>
      </c>
      <c r="AI52" s="2251"/>
      <c r="AJ52" s="2042">
        <v>1</v>
      </c>
      <c r="AK52" s="2334" t="s">
        <v>18</v>
      </c>
      <c r="AL52" s="1946" t="s">
        <v>58</v>
      </c>
      <c r="AM52" s="2029"/>
      <c r="AN52" s="2042">
        <v>1</v>
      </c>
      <c r="AO52" s="2328"/>
      <c r="AP52" s="2329" t="s">
        <v>58</v>
      </c>
      <c r="AQ52" s="301"/>
      <c r="AR52" s="1522">
        <v>1</v>
      </c>
      <c r="AS52" s="1528" t="s">
        <v>18</v>
      </c>
      <c r="AT52" s="760"/>
      <c r="AU52" s="1291"/>
      <c r="AV52" s="760"/>
      <c r="AW52" s="1291"/>
      <c r="AX52" s="1780"/>
      <c r="AY52" s="1505" t="s">
        <v>58</v>
      </c>
      <c r="AZ52" s="1780"/>
      <c r="BA52" s="1505" t="s">
        <v>58</v>
      </c>
      <c r="BB52" s="1384"/>
      <c r="BC52" s="2186" t="s">
        <v>1697</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1698</v>
      </c>
      <c r="AT53" s="1429"/>
      <c r="AU53" s="1532"/>
      <c r="AV53" s="1429"/>
      <c r="AW53" s="1532"/>
      <c r="AX53" s="1429"/>
      <c r="AY53" s="1429"/>
      <c r="AZ53" s="1429"/>
      <c r="BA53" s="1429"/>
      <c r="BB53" s="1433"/>
      <c r="BC53" s="2187"/>
      <c r="BE53" s="508"/>
      <c r="BF53" s="508"/>
      <c r="BG53" s="508"/>
      <c r="BH53" s="508"/>
    </row>
    <row customHeight="1" ht="11.25">
      <c r="A54" s="1399" t="s">
        <v>254</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1699</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254</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1700</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254</v>
      </c>
      <c r="B56" s="1399" t="s">
        <v>255</v>
      </c>
      <c r="C56" s="1399" t="s">
        <v>256</v>
      </c>
      <c r="D56" s="1399" t="s">
        <v>2093</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1701</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254</v>
      </c>
      <c r="B57" s="1399" t="s">
        <v>255</v>
      </c>
      <c r="C57" s="1399" t="s">
        <v>256</v>
      </c>
      <c r="D57" s="1399" t="s">
        <v>2093</v>
      </c>
      <c r="E57" s="2192"/>
      <c r="F57" s="2192"/>
      <c r="G57" s="2192"/>
      <c r="H57" s="2192"/>
      <c r="I57" s="2219"/>
      <c r="J57" s="2189"/>
      <c r="K57" s="1399"/>
      <c r="L57" s="1400"/>
      <c r="P57" s="2190"/>
      <c r="Q57" s="2190"/>
      <c r="R57" s="352"/>
      <c r="S57" s="1314"/>
      <c r="T57" s="275" t="s">
        <v>542</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254</v>
      </c>
      <c r="B58" s="1379" t="s">
        <v>255</v>
      </c>
      <c r="C58" s="1379" t="s">
        <v>256</v>
      </c>
      <c r="D58" s="1379" t="s">
        <v>2093</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254</v>
      </c>
      <c r="B59" s="1379" t="s">
        <v>255</v>
      </c>
      <c r="C59" s="1379" t="s">
        <v>256</v>
      </c>
      <c r="D59" s="1379" t="s">
        <v>2093</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599" customFormat="1" customHeight="1" ht="0">
      <c r="A60" s="1379" t="s">
        <v>254</v>
      </c>
      <c r="B60" s="1379" t="s">
        <v>255</v>
      </c>
      <c r="C60" s="1379" t="s">
        <v>256</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599" customFormat="1" customHeight="1" ht="0">
      <c r="A61" s="1379" t="s">
        <v>254</v>
      </c>
      <c r="B61" s="1379" t="s">
        <v>255</v>
      </c>
      <c r="C61" s="1350"/>
      <c r="D61" s="1350"/>
      <c r="E61" s="2192"/>
      <c r="F61" s="2191"/>
      <c r="G61" s="1350"/>
      <c r="H61" s="1350"/>
      <c r="I61" s="1350"/>
      <c r="J61" s="1350"/>
      <c r="K61" s="1350"/>
      <c r="L61" s="1530"/>
      <c r="M61" s="1357"/>
      <c r="N61" s="1357"/>
      <c r="P61" s="1352"/>
      <c r="Q61" s="1353"/>
      <c r="R61" s="1352"/>
      <c r="S61" s="1358"/>
      <c r="T61" s="1361" t="s">
        <v>436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254</v>
      </c>
      <c r="B62" s="1379"/>
      <c r="C62" s="1379"/>
      <c r="D62" s="1379"/>
      <c r="E62" s="2191"/>
      <c r="F62" s="1379"/>
      <c r="G62" s="1379"/>
      <c r="H62" s="1379"/>
      <c r="I62" s="1379"/>
      <c r="J62" s="1379"/>
      <c r="K62" s="1379"/>
      <c r="L62" s="1382"/>
      <c r="M62" s="1357"/>
      <c r="N62" s="1357"/>
      <c r="O62" s="526"/>
      <c r="P62" s="385"/>
      <c r="Q62" s="1380"/>
      <c r="R62" s="385"/>
      <c r="S62" s="1358"/>
      <c r="T62" s="1361" t="s">
        <v>437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599"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438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8.75" hidden="1">
      <c r="O65" s="545"/>
      <c r="S65" s="1279" t="s">
        <v>510</v>
      </c>
      <c r="T65" s="2218" t="s">
        <v>1712</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510</v>
      </c>
      <c r="T67" s="2218" t="s">
        <v>1713</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6EF02-416B-0004-7C5A-C9358E3A62B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59" width="10.57421875" hidden="1"/>
    <col min="2" max="2" style="3159" width="11.00390625" hidden="1" customWidth="1"/>
    <col min="3" max="3" style="3159" width="10.57421875" hidden="1"/>
    <col min="4" max="4" style="3159" width="11.8515625" hidden="1" customWidth="1"/>
    <col min="5" max="5" style="3159" width="10.00390625" hidden="1" customWidth="1"/>
    <col min="6" max="6" style="3159" width="8.7109375" hidden="1" customWidth="1"/>
    <col min="7" max="7" style="3159" width="7.57421875" hidden="1" customWidth="1"/>
    <col min="8" max="8" style="3159" width="11.421875" hidden="1" customWidth="1"/>
    <col min="9" max="9" style="3159" width="14.140625" hidden="1" customWidth="1"/>
    <col min="10" max="10" style="3159" width="9.8515625" hidden="1" customWidth="1"/>
    <col min="11" max="11" style="3159" width="14.7109375" hidden="1" customWidth="1"/>
    <col min="12" max="12" style="4990" width="19.140625" hidden="1" customWidth="1"/>
    <col min="13" max="14" style="3619" width="12.28125" hidden="1" customWidth="1"/>
    <col min="15" max="15" style="3619" width="23.421875" hidden="1" customWidth="1"/>
    <col min="16" max="16" style="4995" width="3.7109375" customWidth="1"/>
    <col min="17" max="18" style="3694" width="3.7109375" customWidth="1"/>
    <col min="19" max="19" style="3695" width="12.7109375" customWidth="1"/>
    <col min="20" max="20" style="2876" width="35.7109375" customWidth="1"/>
    <col min="21" max="21" style="2876" width="0.140625" customWidth="1"/>
    <col min="22" max="24" style="2876" width="24.7109375" hidden="1" customWidth="1"/>
    <col min="25" max="25" style="2876" width="11.7109375" hidden="1" customWidth="1"/>
    <col min="26" max="26" style="2876" width="3.7109375" hidden="1" customWidth="1"/>
    <col min="27" max="27" style="2876" width="11.7109375" hidden="1" customWidth="1"/>
    <col min="28" max="28" style="2876" width="8.57421875" hidden="1" customWidth="1"/>
    <col min="29" max="31" style="2876" width="24.7109375" customWidth="1"/>
    <col min="32" max="32" style="2876" width="11.7109375" customWidth="1"/>
    <col min="33" max="33" style="2876" width="3.7109375" customWidth="1"/>
    <col min="34" max="34" style="2876" width="11.7109375" customWidth="1"/>
    <col min="35" max="35" style="2876" width="8.57421875" hidden="1" customWidth="1"/>
    <col min="36" max="36" style="2876" width="4.7109375" customWidth="1"/>
    <col min="37" max="37" style="2876"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130</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462</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463</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2095</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1679</v>
      </c>
      <c r="U5" s="288"/>
      <c r="V5" s="2322"/>
      <c r="W5" s="2323"/>
      <c r="X5" s="2323"/>
      <c r="Y5" s="2323"/>
      <c r="Z5" s="2323"/>
      <c r="AA5" s="2323"/>
      <c r="AB5" s="2324"/>
      <c r="AC5" s="2325"/>
      <c r="AD5" s="2326"/>
      <c r="AE5" s="2326"/>
      <c r="AF5" s="2326"/>
      <c r="AG5" s="2326"/>
      <c r="AH5" s="2326"/>
      <c r="AI5" s="2326"/>
      <c r="AJ5" s="2327"/>
      <c r="AK5" s="1292" t="s">
        <v>1680</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471</v>
      </c>
      <c r="P6" s="2190"/>
      <c r="Q6" s="2190">
        <v>1</v>
      </c>
      <c r="R6" s="353"/>
      <c r="S6" s="1529">
        <f>$J6</f>
      </c>
      <c r="T6" s="274" t="s">
        <v>472</v>
      </c>
      <c r="U6" s="288"/>
      <c r="V6" s="2178"/>
      <c r="W6" s="2179"/>
      <c r="X6" s="2179"/>
      <c r="Y6" s="2179"/>
      <c r="Z6" s="2179"/>
      <c r="AA6" s="2179"/>
      <c r="AB6" s="2180"/>
      <c r="AC6" s="2178"/>
      <c r="AD6" s="2179"/>
      <c r="AE6" s="2179"/>
      <c r="AF6" s="2179"/>
      <c r="AG6" s="2179"/>
      <c r="AH6" s="2179"/>
      <c r="AI6" s="2179"/>
      <c r="AJ6" s="2180"/>
      <c r="AK6" s="1343" t="s">
        <v>1681</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1682</v>
      </c>
      <c r="U9" s="367"/>
      <c r="V9" s="367"/>
      <c r="W9" s="367"/>
      <c r="X9" s="367"/>
      <c r="Y9" s="367"/>
      <c r="Z9" s="367"/>
      <c r="AA9" s="367"/>
      <c r="AB9" s="367"/>
      <c r="AC9" s="367"/>
      <c r="AD9" s="367"/>
      <c r="AE9" s="367"/>
      <c r="AF9" s="367"/>
      <c r="AG9" s="367"/>
      <c r="AH9" s="367"/>
      <c r="AI9" s="367"/>
      <c r="AJ9" s="367"/>
      <c r="AK9" s="1292" t="s">
        <v>1683</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477</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9"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59" customFormat="1" customHeight="1" ht="22.5" hidden="1">
      <c r="L18" s="1514"/>
      <c r="M18" s="1398"/>
      <c r="N18" s="1398"/>
      <c r="O18" s="1403" t="s">
        <v>479</v>
      </c>
      <c r="P18" s="1398"/>
      <c r="Q18" s="1407"/>
      <c r="R18" s="1407"/>
      <c r="S18" s="738"/>
      <c r="Y18" s="1403"/>
      <c r="AA18" s="1403"/>
      <c r="AB18" s="1402"/>
      <c r="AF18" s="1403"/>
      <c r="AH18" s="1403"/>
      <c r="AI18" s="1402"/>
      <c r="AL18" s="519"/>
      <c r="AM18" s="519"/>
      <c r="AN18" s="519"/>
      <c r="AO18" s="519"/>
      <c r="AP18" s="519"/>
    </row>
    <row s="3159" customFormat="1" customHeight="1" ht="14.25" hidden="1">
      <c r="L19" s="1514"/>
      <c r="M19" s="1398"/>
      <c r="N19" s="1398"/>
      <c r="O19" s="1398"/>
      <c r="P19" s="1398"/>
      <c r="Q19" s="1407"/>
      <c r="R19" s="1407"/>
      <c r="S19" s="738"/>
      <c r="AB19" s="1402"/>
      <c r="AI19" s="1402"/>
      <c r="AL19" s="519"/>
      <c r="AM19" s="519"/>
      <c r="AN19" s="519"/>
      <c r="AO19" s="519"/>
      <c r="AP19" s="519"/>
    </row>
    <row s="3159" customFormat="1" customHeight="1" ht="12" hidden="1">
      <c r="L20" s="1514"/>
      <c r="M20" s="1398"/>
      <c r="N20" s="1398"/>
      <c r="O20" s="1400" t="s">
        <v>480</v>
      </c>
      <c r="P20" s="1398"/>
      <c r="Q20" s="1478"/>
      <c r="R20" s="1478"/>
      <c r="S20" s="738"/>
      <c r="T20" s="1174" t="s">
        <v>481</v>
      </c>
      <c r="Z20" s="172" t="s">
        <v>482</v>
      </c>
      <c r="AB20" s="172" t="s">
        <v>483</v>
      </c>
      <c r="AC20" s="1174" t="s">
        <v>481</v>
      </c>
      <c r="AG20" s="172" t="s">
        <v>484</v>
      </c>
      <c r="AI20" s="172" t="s">
        <v>483</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"Уссурийск-Водоканал"</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8" customFormat="1" customHeight="1" ht="25.5" hidden="1">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8" customFormat="1" customHeight="1" ht="18.75" hidden="1">
      <c r="A28" s="1404"/>
      <c r="B28" s="1404"/>
      <c r="C28" s="1404"/>
      <c r="D28" s="1404"/>
      <c r="E28" s="1404"/>
      <c r="F28" s="1404"/>
      <c r="G28" s="1404"/>
      <c r="H28" s="1404"/>
      <c r="I28" s="1404"/>
      <c r="J28" s="1404"/>
      <c r="K28" s="1404"/>
      <c r="L28" s="1405"/>
      <c r="M28" s="1404"/>
      <c r="N28" s="1404"/>
      <c r="O28" s="1404"/>
      <c r="S28" s="2183" t="s">
        <v>485</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8" customFormat="1" customHeight="1" ht="18.75" hidden="1">
      <c r="A29" s="1404"/>
      <c r="B29" s="1404"/>
      <c r="C29" s="1404"/>
      <c r="D29" s="1404"/>
      <c r="E29" s="1404"/>
      <c r="F29" s="1404"/>
      <c r="G29" s="1404"/>
      <c r="H29" s="1404"/>
      <c r="I29" s="1404"/>
      <c r="J29" s="1404"/>
      <c r="K29" s="1404"/>
      <c r="L29" s="1405"/>
      <c r="M29" s="1404"/>
      <c r="N29" s="1404"/>
      <c r="O29" s="1404"/>
      <c r="S29" s="2183" t="s">
        <v>486</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8" customFormat="1" customHeight="1" ht="18.75" hidden="1">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8" customFormat="1" customHeight="1" ht="18.75" hidden="1">
      <c r="A32" s="1404"/>
      <c r="B32" s="1404"/>
      <c r="C32" s="1404"/>
      <c r="D32" s="1404"/>
      <c r="E32" s="1404"/>
      <c r="F32" s="1404"/>
      <c r="G32" s="1404"/>
      <c r="H32" s="1404"/>
      <c r="I32" s="1404"/>
      <c r="J32" s="1404"/>
      <c r="K32" s="1404"/>
      <c r="L32" s="1405"/>
      <c r="M32" s="1404"/>
      <c r="N32" s="1404"/>
      <c r="O32" s="1404"/>
      <c r="S32" s="2183" t="s">
        <v>487</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8" customFormat="1" customHeight="1" ht="18.75" hidden="1">
      <c r="A33" s="1404"/>
      <c r="B33" s="1404"/>
      <c r="C33" s="1404"/>
      <c r="D33" s="1404"/>
      <c r="E33" s="1404"/>
      <c r="F33" s="1404"/>
      <c r="G33" s="1404"/>
      <c r="H33" s="1404"/>
      <c r="I33" s="1404"/>
      <c r="J33" s="1404"/>
      <c r="K33" s="1404"/>
      <c r="L33" s="1405"/>
      <c r="M33" s="1404"/>
      <c r="N33" s="1404"/>
      <c r="O33" s="1404"/>
      <c r="S33" s="2183" t="s">
        <v>488</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8"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489</v>
      </c>
      <c r="AC34" s="322"/>
      <c r="AD34" s="322"/>
      <c r="AE34" s="322"/>
      <c r="AF34" s="322"/>
      <c r="AG34" s="322"/>
      <c r="AH34" s="322"/>
      <c r="AI34" s="266" t="s">
        <v>489</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490</v>
      </c>
      <c r="U37" s="289"/>
      <c r="V37" s="2207" t="s">
        <v>491</v>
      </c>
      <c r="W37" s="2208"/>
      <c r="X37" s="2208"/>
      <c r="Y37" s="2208"/>
      <c r="Z37" s="2208"/>
      <c r="AA37" s="2209"/>
      <c r="AB37" s="2210" t="s">
        <v>492</v>
      </c>
      <c r="AC37" s="2207" t="s">
        <v>491</v>
      </c>
      <c r="AD37" s="2208"/>
      <c r="AE37" s="2208"/>
      <c r="AF37" s="2208"/>
      <c r="AG37" s="2208"/>
      <c r="AH37" s="2209"/>
      <c r="AI37" s="2210" t="s">
        <v>493</v>
      </c>
      <c r="AJ37" s="2213" t="s">
        <v>494</v>
      </c>
      <c r="AK37" s="1966"/>
    </row>
    <row customHeight="1" ht="33.75">
      <c r="Q38" s="377"/>
      <c r="R38" s="377"/>
      <c r="S38" s="2206"/>
      <c r="T38" s="2047"/>
      <c r="U38" s="1044"/>
      <c r="V38" s="1519" t="s">
        <v>1685</v>
      </c>
      <c r="W38" s="2195" t="s">
        <v>497</v>
      </c>
      <c r="X38" s="2196"/>
      <c r="Y38" s="2195" t="s">
        <v>498</v>
      </c>
      <c r="Z38" s="2202"/>
      <c r="AA38" s="2196"/>
      <c r="AB38" s="2211"/>
      <c r="AC38" s="1519" t="s">
        <v>1685</v>
      </c>
      <c r="AD38" s="2195" t="s">
        <v>497</v>
      </c>
      <c r="AE38" s="2196"/>
      <c r="AF38" s="2195" t="s">
        <v>498</v>
      </c>
      <c r="AG38" s="2202"/>
      <c r="AH38" s="2196"/>
      <c r="AI38" s="2211"/>
      <c r="AJ38" s="2214"/>
      <c r="AK38" s="1966"/>
    </row>
    <row customHeight="1" ht="86.25">
      <c r="A39" s="1406"/>
      <c r="B39" s="1406" t="s">
        <v>142</v>
      </c>
      <c r="C39" s="1406" t="s">
        <v>143</v>
      </c>
      <c r="D39" s="1406" t="s">
        <v>144</v>
      </c>
      <c r="E39" s="1400" t="s">
        <v>499</v>
      </c>
      <c r="F39" s="1400" t="s">
        <v>500</v>
      </c>
      <c r="G39" s="1400" t="s">
        <v>501</v>
      </c>
      <c r="H39" s="1400"/>
      <c r="I39" s="1400" t="s">
        <v>1686</v>
      </c>
      <c r="J39" s="1400" t="s">
        <v>504</v>
      </c>
      <c r="K39" s="1400" t="s">
        <v>1687</v>
      </c>
      <c r="L39" s="1400" t="s">
        <v>480</v>
      </c>
      <c r="Q39" s="377"/>
      <c r="R39" s="377"/>
      <c r="S39" s="2206"/>
      <c r="T39" s="2047"/>
      <c r="U39" s="290"/>
      <c r="V39" s="1519" t="s">
        <v>2096</v>
      </c>
      <c r="W39" s="1243" t="s">
        <v>2097</v>
      </c>
      <c r="X39" s="1243" t="s">
        <v>1690</v>
      </c>
      <c r="Y39" s="1525" t="s">
        <v>508</v>
      </c>
      <c r="Z39" s="2203" t="s">
        <v>509</v>
      </c>
      <c r="AA39" s="2204"/>
      <c r="AB39" s="2212"/>
      <c r="AC39" s="1519" t="s">
        <v>2096</v>
      </c>
      <c r="AD39" s="1243" t="s">
        <v>2097</v>
      </c>
      <c r="AE39" s="1243" t="s">
        <v>1690</v>
      </c>
      <c r="AF39" s="1525" t="s">
        <v>508</v>
      </c>
      <c r="AG39" s="2203" t="s">
        <v>509</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259</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130</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259</v>
      </c>
      <c r="B42" s="1399" t="s">
        <v>260</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462</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463</v>
      </c>
      <c r="AM42" s="508"/>
      <c r="AN42" s="508" t="str">
        <f>IF(T42="","",T42)</f>
        <v>Территория действия тарифа</v>
      </c>
      <c r="AO42" s="508"/>
      <c r="AP42" s="508"/>
    </row>
    <row customHeight="1" ht="23.25">
      <c r="A43" s="1399" t="s">
        <v>259</v>
      </c>
      <c r="B43" s="1399" t="s">
        <v>260</v>
      </c>
      <c r="C43" s="1399" t="s">
        <v>261</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2095</v>
      </c>
      <c r="AM43" s="508"/>
      <c r="AN43" s="508" t="str">
        <f>IF(T43="","",T43)</f>
        <v>Наименование централизованной системы водоотведения</v>
      </c>
      <c r="AO43" s="508"/>
      <c r="AP43" s="508"/>
    </row>
    <row customHeight="1" ht="23.25">
      <c r="A44" s="1399" t="s">
        <v>259</v>
      </c>
      <c r="B44" s="1399" t="s">
        <v>260</v>
      </c>
      <c r="C44" s="1399" t="s">
        <v>261</v>
      </c>
      <c r="D44" s="1399" t="s">
        <v>2098</v>
      </c>
      <c r="E44" s="2192"/>
      <c r="F44" s="2192"/>
      <c r="G44" s="2192"/>
      <c r="H44" s="2192"/>
      <c r="I44" s="2189" t="str">
        <f>S43&amp;".1"</f>
        <v>...1</v>
      </c>
      <c r="J44" s="1399"/>
      <c r="K44" s="1399"/>
      <c r="L44" s="1400"/>
      <c r="P44" s="2190">
        <v>1</v>
      </c>
      <c r="Q44" s="1517"/>
      <c r="R44" s="352"/>
      <c r="S44" s="1529" t="str">
        <f>$I44</f>
        <v>...1</v>
      </c>
      <c r="T44" s="273" t="s">
        <v>1679</v>
      </c>
      <c r="U44" s="288"/>
      <c r="V44" s="2322"/>
      <c r="W44" s="2323"/>
      <c r="X44" s="2323"/>
      <c r="Y44" s="2323"/>
      <c r="Z44" s="2323"/>
      <c r="AA44" s="2323"/>
      <c r="AB44" s="2324"/>
      <c r="AC44" s="2325"/>
      <c r="AD44" s="2326"/>
      <c r="AE44" s="2326"/>
      <c r="AF44" s="2326"/>
      <c r="AG44" s="2326"/>
      <c r="AH44" s="2326"/>
      <c r="AI44" s="2326"/>
      <c r="AJ44" s="2327"/>
      <c r="AK44" s="1292" t="s">
        <v>1680</v>
      </c>
      <c r="AM44" s="508"/>
      <c r="AN44" s="508" t="str">
        <f>IF(T44="","",T44)</f>
        <v>Наименование признака дифференциации</v>
      </c>
      <c r="AO44" s="508"/>
      <c r="AP44" s="508"/>
    </row>
    <row customHeight="1" ht="23.25">
      <c r="A45" s="1399" t="s">
        <v>259</v>
      </c>
      <c r="B45" s="1399" t="s">
        <v>260</v>
      </c>
      <c r="C45" s="1399" t="s">
        <v>261</v>
      </c>
      <c r="D45" s="1399" t="s">
        <v>2098</v>
      </c>
      <c r="E45" s="2192"/>
      <c r="F45" s="2192"/>
      <c r="G45" s="2192"/>
      <c r="H45" s="2192"/>
      <c r="I45" s="2219"/>
      <c r="J45" s="2189" t="str">
        <f>I44&amp;".1"</f>
        <v>...1.1</v>
      </c>
      <c r="K45" s="1399"/>
      <c r="L45" s="1400" t="s">
        <v>471</v>
      </c>
      <c r="P45" s="2190"/>
      <c r="Q45" s="2190">
        <v>1</v>
      </c>
      <c r="R45" s="353"/>
      <c r="S45" s="1529" t="str">
        <f>$J45</f>
        <v>...1.1</v>
      </c>
      <c r="T45" s="274" t="s">
        <v>472</v>
      </c>
      <c r="U45" s="288"/>
      <c r="V45" s="2178"/>
      <c r="W45" s="2179"/>
      <c r="X45" s="2179"/>
      <c r="Y45" s="2179"/>
      <c r="Z45" s="2179"/>
      <c r="AA45" s="2179"/>
      <c r="AB45" s="2180"/>
      <c r="AC45" s="2178"/>
      <c r="AD45" s="2179"/>
      <c r="AE45" s="2179"/>
      <c r="AF45" s="2179"/>
      <c r="AG45" s="2179"/>
      <c r="AH45" s="2179"/>
      <c r="AI45" s="2179"/>
      <c r="AJ45" s="2180"/>
      <c r="AK45" s="1343" t="s">
        <v>1681</v>
      </c>
      <c r="AM45" s="508"/>
      <c r="AN45" s="508" t="str">
        <f>IF(T45="","",T45)</f>
        <v>Группа потребителей</v>
      </c>
      <c r="AO45" s="508"/>
      <c r="AP45" s="508"/>
    </row>
    <row customHeight="1" ht="23.25">
      <c r="A46" s="1399" t="s">
        <v>259</v>
      </c>
      <c r="B46" s="1399" t="s">
        <v>260</v>
      </c>
      <c r="C46" s="1399" t="s">
        <v>261</v>
      </c>
      <c r="D46" s="1399" t="s">
        <v>2098</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259</v>
      </c>
      <c r="B47" s="1399" t="s">
        <v>260</v>
      </c>
      <c r="C47" s="1399" t="s">
        <v>261</v>
      </c>
      <c r="D47" s="1399" t="s">
        <v>2098</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259</v>
      </c>
      <c r="B48" s="1399" t="s">
        <v>260</v>
      </c>
      <c r="C48" s="1399" t="s">
        <v>261</v>
      </c>
      <c r="D48" s="1399" t="s">
        <v>2098</v>
      </c>
      <c r="E48" s="2192"/>
      <c r="F48" s="2192"/>
      <c r="G48" s="2192"/>
      <c r="H48" s="2192"/>
      <c r="I48" s="2219"/>
      <c r="J48" s="2189"/>
      <c r="K48" s="1399"/>
      <c r="L48" s="1400"/>
      <c r="P48" s="2190"/>
      <c r="Q48" s="2190"/>
      <c r="R48" s="352"/>
      <c r="S48" s="1314"/>
      <c r="T48" s="275" t="s">
        <v>1682</v>
      </c>
      <c r="U48" s="367"/>
      <c r="V48" s="367"/>
      <c r="W48" s="367"/>
      <c r="X48" s="367"/>
      <c r="Y48" s="367"/>
      <c r="Z48" s="367"/>
      <c r="AA48" s="367"/>
      <c r="AB48" s="367"/>
      <c r="AC48" s="367"/>
      <c r="AD48" s="367"/>
      <c r="AE48" s="367"/>
      <c r="AF48" s="367"/>
      <c r="AG48" s="367"/>
      <c r="AH48" s="367"/>
      <c r="AI48" s="367"/>
      <c r="AJ48" s="367"/>
      <c r="AK48" s="1292" t="s">
        <v>1683</v>
      </c>
      <c r="AM48" s="508"/>
      <c r="AN48" s="508" t="str">
        <f>IF(T48="","",T48)</f>
        <v>Добавить значение признака дифференциации</v>
      </c>
      <c r="AO48" s="508"/>
      <c r="AP48" s="508"/>
    </row>
    <row customHeight="1" ht="21">
      <c r="A49" s="1399" t="s">
        <v>259</v>
      </c>
      <c r="B49" s="1399" t="s">
        <v>260</v>
      </c>
      <c r="C49" s="1399" t="s">
        <v>261</v>
      </c>
      <c r="D49" s="1399" t="s">
        <v>2098</v>
      </c>
      <c r="E49" s="2192"/>
      <c r="F49" s="2192"/>
      <c r="G49" s="2192"/>
      <c r="H49" s="2192"/>
      <c r="I49" s="2189"/>
      <c r="J49" s="1399"/>
      <c r="K49" s="1399"/>
      <c r="L49" s="1400"/>
      <c r="P49" s="2190"/>
      <c r="Q49" s="1517"/>
      <c r="R49" s="352"/>
      <c r="S49" s="1314"/>
      <c r="T49" s="364" t="s">
        <v>477</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259</v>
      </c>
      <c r="B50" s="1399" t="s">
        <v>260</v>
      </c>
      <c r="C50" s="1399" t="s">
        <v>261</v>
      </c>
      <c r="D50" s="1399" t="s">
        <v>2098</v>
      </c>
      <c r="E50" s="2192"/>
      <c r="F50" s="2192"/>
      <c r="G50" s="2192"/>
      <c r="H50" s="2191"/>
      <c r="I50" s="1399"/>
      <c r="J50" s="1399"/>
      <c r="K50" s="1399"/>
      <c r="L50" s="1400"/>
      <c r="M50" s="1401"/>
      <c r="N50" s="1401"/>
      <c r="O50" s="545"/>
      <c r="P50" s="356"/>
      <c r="Q50" s="376"/>
      <c r="R50" s="351"/>
      <c r="S50" s="1314"/>
      <c r="T50" s="372" t="s">
        <v>1684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9" customFormat="1" customHeight="1" ht="0">
      <c r="A51" s="1379" t="s">
        <v>259</v>
      </c>
      <c r="B51" s="1379" t="s">
        <v>260</v>
      </c>
      <c r="C51" s="1350"/>
      <c r="D51" s="1350"/>
      <c r="E51" s="2192"/>
      <c r="F51" s="2191"/>
      <c r="G51" s="1350"/>
      <c r="H51" s="1350"/>
      <c r="I51" s="1350"/>
      <c r="J51" s="1350"/>
      <c r="K51" s="1350"/>
      <c r="L51" s="1530"/>
      <c r="M51" s="1357"/>
      <c r="N51" s="1357"/>
      <c r="P51" s="1352"/>
      <c r="Q51" s="1353"/>
      <c r="R51" s="1352"/>
      <c r="S51" s="1358"/>
      <c r="T51" s="1361" t="s">
        <v>436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259</v>
      </c>
      <c r="B52" s="1379"/>
      <c r="C52" s="1379"/>
      <c r="D52" s="1379"/>
      <c r="E52" s="2191"/>
      <c r="F52" s="1379"/>
      <c r="G52" s="1379"/>
      <c r="H52" s="1379"/>
      <c r="I52" s="1379"/>
      <c r="J52" s="1379"/>
      <c r="K52" s="1379"/>
      <c r="L52" s="1382"/>
      <c r="M52" s="1357"/>
      <c r="N52" s="1357"/>
      <c r="O52" s="526"/>
      <c r="P52" s="385"/>
      <c r="Q52" s="1380"/>
      <c r="R52" s="385"/>
      <c r="S52" s="1358"/>
      <c r="T52" s="1361" t="s">
        <v>437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9"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510</v>
      </c>
      <c r="T55" s="2218" t="s">
        <v>2099</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510</v>
      </c>
      <c r="T57" s="2218" t="s">
        <v>2100</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E7512B-4AEE-D10E-FA51-84A259AD5C7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59" width="10.57421875" hidden="1"/>
    <col min="2" max="2" style="3159" width="11.00390625" hidden="1" customWidth="1"/>
    <col min="3" max="3" style="3159" width="10.57421875" hidden="1"/>
    <col min="4" max="4" style="3159" width="11.8515625" hidden="1" customWidth="1"/>
    <col min="5" max="5" style="3159" width="10.00390625" hidden="1" customWidth="1"/>
    <col min="6" max="6" style="3159" width="8.7109375" hidden="1" customWidth="1"/>
    <col min="7" max="7" style="3159" width="7.57421875" hidden="1" customWidth="1"/>
    <col min="8" max="8" style="3159" width="11.421875" hidden="1" customWidth="1"/>
    <col min="9" max="9" style="3159" width="14.140625" hidden="1" customWidth="1"/>
    <col min="10" max="10" style="3159" width="9.8515625" hidden="1" customWidth="1"/>
    <col min="11" max="11" style="3159" width="14.7109375" hidden="1" customWidth="1"/>
    <col min="12" max="12" style="4990" width="19.140625" hidden="1" customWidth="1"/>
    <col min="13" max="14" style="3619" width="12.28125" hidden="1" customWidth="1"/>
    <col min="15" max="15" style="3619" width="23.421875" hidden="1" customWidth="1"/>
    <col min="16" max="16" style="4995" width="3.7109375" customWidth="1"/>
    <col min="17" max="18" style="3694" width="3.7109375" customWidth="1"/>
    <col min="19" max="19" style="3695" width="12.7109375" customWidth="1"/>
    <col min="20" max="20" style="2876" width="35.7109375" customWidth="1"/>
    <col min="21" max="21" style="2876" width="0.140625" customWidth="1"/>
    <col min="22" max="24" style="2876" width="24.7109375" hidden="1" customWidth="1"/>
    <col min="25" max="25" style="2876" width="11.7109375" hidden="1" customWidth="1"/>
    <col min="26" max="26" style="2876" width="3.7109375" hidden="1" customWidth="1"/>
    <col min="27" max="27" style="2876" width="11.7109375" hidden="1" customWidth="1"/>
    <col min="28" max="28" style="2876" width="8.57421875" hidden="1" customWidth="1"/>
    <col min="29" max="31" style="2876" width="24.7109375" customWidth="1"/>
    <col min="32" max="32" style="2876" width="11.7109375" customWidth="1"/>
    <col min="33" max="33" style="2876" width="3.7109375" customWidth="1"/>
    <col min="34" max="34" style="2876" width="11.7109375" customWidth="1"/>
    <col min="35" max="35" style="2876" width="8.57421875" hidden="1" customWidth="1"/>
    <col min="36" max="36" style="2876" width="4.7109375" customWidth="1"/>
    <col min="37" max="37" style="2876"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130</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462</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463</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2095</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1679</v>
      </c>
      <c r="U5" s="288"/>
      <c r="V5" s="2322"/>
      <c r="W5" s="2323"/>
      <c r="X5" s="2323"/>
      <c r="Y5" s="2323"/>
      <c r="Z5" s="2323"/>
      <c r="AA5" s="2323"/>
      <c r="AB5" s="2324"/>
      <c r="AC5" s="2325"/>
      <c r="AD5" s="2326"/>
      <c r="AE5" s="2326"/>
      <c r="AF5" s="2326"/>
      <c r="AG5" s="2326"/>
      <c r="AH5" s="2326"/>
      <c r="AI5" s="2326"/>
      <c r="AJ5" s="2327"/>
      <c r="AK5" s="1292" t="s">
        <v>1680</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471</v>
      </c>
      <c r="P6" s="2190"/>
      <c r="Q6" s="2190">
        <v>1</v>
      </c>
      <c r="R6" s="353"/>
      <c r="S6" s="1529">
        <f>$J6</f>
      </c>
      <c r="T6" s="274" t="s">
        <v>472</v>
      </c>
      <c r="U6" s="288"/>
      <c r="V6" s="2178"/>
      <c r="W6" s="2179"/>
      <c r="X6" s="2179"/>
      <c r="Y6" s="2179"/>
      <c r="Z6" s="2179"/>
      <c r="AA6" s="2179"/>
      <c r="AB6" s="2180"/>
      <c r="AC6" s="2178"/>
      <c r="AD6" s="2179"/>
      <c r="AE6" s="2179"/>
      <c r="AF6" s="2179"/>
      <c r="AG6" s="2179"/>
      <c r="AH6" s="2179"/>
      <c r="AI6" s="2179"/>
      <c r="AJ6" s="2180"/>
      <c r="AK6" s="1343" t="s">
        <v>1681</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1682</v>
      </c>
      <c r="U9" s="367"/>
      <c r="V9" s="367"/>
      <c r="W9" s="367"/>
      <c r="X9" s="367"/>
      <c r="Y9" s="367"/>
      <c r="Z9" s="367"/>
      <c r="AA9" s="367"/>
      <c r="AB9" s="367"/>
      <c r="AC9" s="367"/>
      <c r="AD9" s="367"/>
      <c r="AE9" s="367"/>
      <c r="AF9" s="367"/>
      <c r="AG9" s="367"/>
      <c r="AH9" s="367"/>
      <c r="AI9" s="367"/>
      <c r="AJ9" s="367"/>
      <c r="AK9" s="1292" t="s">
        <v>1683</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477</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9"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59" customFormat="1" customHeight="1" ht="22.5" hidden="1">
      <c r="L18" s="1514"/>
      <c r="M18" s="1398"/>
      <c r="N18" s="1398"/>
      <c r="O18" s="1403" t="s">
        <v>479</v>
      </c>
      <c r="P18" s="1398"/>
      <c r="Q18" s="1407"/>
      <c r="R18" s="1407"/>
      <c r="S18" s="738"/>
      <c r="Y18" s="1403"/>
      <c r="AA18" s="1403"/>
      <c r="AB18" s="1402"/>
      <c r="AF18" s="1403"/>
      <c r="AH18" s="1403"/>
      <c r="AI18" s="1402"/>
      <c r="AL18" s="519"/>
      <c r="AM18" s="519"/>
      <c r="AN18" s="519"/>
      <c r="AO18" s="519"/>
      <c r="AP18" s="519"/>
    </row>
    <row s="3159" customFormat="1" customHeight="1" ht="14.25" hidden="1">
      <c r="L19" s="1514"/>
      <c r="M19" s="1398"/>
      <c r="N19" s="1398"/>
      <c r="O19" s="1398"/>
      <c r="P19" s="1398"/>
      <c r="Q19" s="1407"/>
      <c r="R19" s="1407"/>
      <c r="S19" s="738"/>
      <c r="AB19" s="1402"/>
      <c r="AI19" s="1402"/>
      <c r="AL19" s="519"/>
      <c r="AM19" s="519"/>
      <c r="AN19" s="519"/>
      <c r="AO19" s="519"/>
      <c r="AP19" s="519"/>
    </row>
    <row s="3159" customFormat="1" customHeight="1" ht="12" hidden="1">
      <c r="L20" s="1514"/>
      <c r="M20" s="1398"/>
      <c r="N20" s="1398"/>
      <c r="O20" s="1400" t="s">
        <v>480</v>
      </c>
      <c r="P20" s="1398"/>
      <c r="Q20" s="1478"/>
      <c r="R20" s="1478"/>
      <c r="S20" s="738"/>
      <c r="T20" s="1174" t="s">
        <v>481</v>
      </c>
      <c r="Z20" s="172" t="s">
        <v>482</v>
      </c>
      <c r="AB20" s="172" t="s">
        <v>483</v>
      </c>
      <c r="AC20" s="1174" t="s">
        <v>481</v>
      </c>
      <c r="AG20" s="172" t="s">
        <v>484</v>
      </c>
      <c r="AI20" s="172" t="s">
        <v>483</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"Уссурийск-Водоканал"</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8" customFormat="1" customHeight="1" ht="25.5" hidden="1">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8" customFormat="1" customHeight="1" ht="18.75" hidden="1">
      <c r="A28" s="1404"/>
      <c r="B28" s="1404"/>
      <c r="C28" s="1404"/>
      <c r="D28" s="1404"/>
      <c r="E28" s="1404"/>
      <c r="F28" s="1404"/>
      <c r="G28" s="1404"/>
      <c r="H28" s="1404"/>
      <c r="I28" s="1404"/>
      <c r="J28" s="1404"/>
      <c r="K28" s="1404"/>
      <c r="L28" s="1405"/>
      <c r="M28" s="1404"/>
      <c r="N28" s="1404"/>
      <c r="O28" s="1404"/>
      <c r="S28" s="2183" t="s">
        <v>485</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8" customFormat="1" customHeight="1" ht="18.75" hidden="1">
      <c r="A29" s="1404"/>
      <c r="B29" s="1404"/>
      <c r="C29" s="1404"/>
      <c r="D29" s="1404"/>
      <c r="E29" s="1404"/>
      <c r="F29" s="1404"/>
      <c r="G29" s="1404"/>
      <c r="H29" s="1404"/>
      <c r="I29" s="1404"/>
      <c r="J29" s="1404"/>
      <c r="K29" s="1404"/>
      <c r="L29" s="1405"/>
      <c r="M29" s="1404"/>
      <c r="N29" s="1404"/>
      <c r="O29" s="1404"/>
      <c r="S29" s="2183" t="s">
        <v>486</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8" customFormat="1" customHeight="1" ht="18.75" hidden="1">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8" customFormat="1" customHeight="1" ht="18.75" hidden="1">
      <c r="A32" s="1404"/>
      <c r="B32" s="1404"/>
      <c r="C32" s="1404"/>
      <c r="D32" s="1404"/>
      <c r="E32" s="1404"/>
      <c r="F32" s="1404"/>
      <c r="G32" s="1404"/>
      <c r="H32" s="1404"/>
      <c r="I32" s="1404"/>
      <c r="J32" s="1404"/>
      <c r="K32" s="1404"/>
      <c r="L32" s="1405"/>
      <c r="M32" s="1404"/>
      <c r="N32" s="1404"/>
      <c r="O32" s="1404"/>
      <c r="S32" s="2183" t="s">
        <v>487</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8" customFormat="1" customHeight="1" ht="18.75" hidden="1">
      <c r="A33" s="1404"/>
      <c r="B33" s="1404"/>
      <c r="C33" s="1404"/>
      <c r="D33" s="1404"/>
      <c r="E33" s="1404"/>
      <c r="F33" s="1404"/>
      <c r="G33" s="1404"/>
      <c r="H33" s="1404"/>
      <c r="I33" s="1404"/>
      <c r="J33" s="1404"/>
      <c r="K33" s="1404"/>
      <c r="L33" s="1405"/>
      <c r="M33" s="1404"/>
      <c r="N33" s="1404"/>
      <c r="O33" s="1404"/>
      <c r="S33" s="2183" t="s">
        <v>488</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8"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489</v>
      </c>
      <c r="AC34" s="322"/>
      <c r="AD34" s="322"/>
      <c r="AE34" s="322"/>
      <c r="AF34" s="322"/>
      <c r="AG34" s="322"/>
      <c r="AH34" s="322"/>
      <c r="AI34" s="266" t="s">
        <v>489</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490</v>
      </c>
      <c r="U37" s="289"/>
      <c r="V37" s="2207" t="s">
        <v>491</v>
      </c>
      <c r="W37" s="2208"/>
      <c r="X37" s="2208"/>
      <c r="Y37" s="2208"/>
      <c r="Z37" s="2208"/>
      <c r="AA37" s="2209"/>
      <c r="AB37" s="2210" t="s">
        <v>492</v>
      </c>
      <c r="AC37" s="2207" t="s">
        <v>491</v>
      </c>
      <c r="AD37" s="2208"/>
      <c r="AE37" s="2208"/>
      <c r="AF37" s="2208"/>
      <c r="AG37" s="2208"/>
      <c r="AH37" s="2209"/>
      <c r="AI37" s="2210" t="s">
        <v>493</v>
      </c>
      <c r="AJ37" s="2213" t="s">
        <v>494</v>
      </c>
      <c r="AK37" s="1966"/>
    </row>
    <row customHeight="1" ht="33.75">
      <c r="Q38" s="377"/>
      <c r="R38" s="377"/>
      <c r="S38" s="2206"/>
      <c r="T38" s="2047"/>
      <c r="U38" s="1044"/>
      <c r="V38" s="1519" t="s">
        <v>1685</v>
      </c>
      <c r="W38" s="2195" t="s">
        <v>497</v>
      </c>
      <c r="X38" s="2196"/>
      <c r="Y38" s="2195" t="s">
        <v>498</v>
      </c>
      <c r="Z38" s="2202"/>
      <c r="AA38" s="2196"/>
      <c r="AB38" s="2211"/>
      <c r="AC38" s="1519" t="s">
        <v>1685</v>
      </c>
      <c r="AD38" s="2195" t="s">
        <v>497</v>
      </c>
      <c r="AE38" s="2196"/>
      <c r="AF38" s="2195" t="s">
        <v>498</v>
      </c>
      <c r="AG38" s="2202"/>
      <c r="AH38" s="2196"/>
      <c r="AI38" s="2211"/>
      <c r="AJ38" s="2214"/>
      <c r="AK38" s="1966"/>
    </row>
    <row customHeight="1" ht="86.25">
      <c r="A39" s="1406"/>
      <c r="B39" s="1406" t="s">
        <v>142</v>
      </c>
      <c r="C39" s="1406" t="s">
        <v>143</v>
      </c>
      <c r="D39" s="1406" t="s">
        <v>144</v>
      </c>
      <c r="E39" s="1400" t="s">
        <v>499</v>
      </c>
      <c r="F39" s="1400" t="s">
        <v>500</v>
      </c>
      <c r="G39" s="1400" t="s">
        <v>501</v>
      </c>
      <c r="H39" s="1400"/>
      <c r="I39" s="1400" t="s">
        <v>1686</v>
      </c>
      <c r="J39" s="1400" t="s">
        <v>504</v>
      </c>
      <c r="K39" s="1400" t="s">
        <v>1687</v>
      </c>
      <c r="L39" s="1400" t="s">
        <v>480</v>
      </c>
      <c r="Q39" s="377"/>
      <c r="R39" s="377"/>
      <c r="S39" s="2206"/>
      <c r="T39" s="2047"/>
      <c r="U39" s="290"/>
      <c r="V39" s="1519" t="s">
        <v>2096</v>
      </c>
      <c r="W39" s="1243" t="s">
        <v>2097</v>
      </c>
      <c r="X39" s="1243" t="s">
        <v>1690</v>
      </c>
      <c r="Y39" s="1525" t="s">
        <v>508</v>
      </c>
      <c r="Z39" s="2203" t="s">
        <v>509</v>
      </c>
      <c r="AA39" s="2204"/>
      <c r="AB39" s="2212"/>
      <c r="AC39" s="1519" t="s">
        <v>2096</v>
      </c>
      <c r="AD39" s="1243" t="s">
        <v>2097</v>
      </c>
      <c r="AE39" s="1243" t="s">
        <v>1690</v>
      </c>
      <c r="AF39" s="1525" t="s">
        <v>508</v>
      </c>
      <c r="AG39" s="2203" t="s">
        <v>509</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264</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130</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264</v>
      </c>
      <c r="B42" s="1399" t="s">
        <v>265</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462</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463</v>
      </c>
      <c r="AM42" s="508"/>
      <c r="AN42" s="508" t="str">
        <f>IF(T42="","",T42)</f>
        <v>Территория действия тарифа</v>
      </c>
      <c r="AO42" s="508"/>
      <c r="AP42" s="508"/>
    </row>
    <row customHeight="1" ht="23.25">
      <c r="A43" s="1399" t="s">
        <v>264</v>
      </c>
      <c r="B43" s="1399" t="s">
        <v>265</v>
      </c>
      <c r="C43" s="1399" t="s">
        <v>266</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2095</v>
      </c>
      <c r="AM43" s="508"/>
      <c r="AN43" s="508" t="str">
        <f>IF(T43="","",T43)</f>
        <v>Наименование централизованной системы водоотведения</v>
      </c>
      <c r="AO43" s="508"/>
      <c r="AP43" s="508"/>
    </row>
    <row customHeight="1" ht="23.25">
      <c r="A44" s="1399" t="s">
        <v>264</v>
      </c>
      <c r="B44" s="1399" t="s">
        <v>265</v>
      </c>
      <c r="C44" s="1399" t="s">
        <v>266</v>
      </c>
      <c r="D44" s="1399" t="s">
        <v>2101</v>
      </c>
      <c r="E44" s="2192"/>
      <c r="F44" s="2192"/>
      <c r="G44" s="2192"/>
      <c r="H44" s="2192"/>
      <c r="I44" s="2189" t="str">
        <f>S43&amp;".1"</f>
        <v>...1</v>
      </c>
      <c r="J44" s="1399"/>
      <c r="K44" s="1399"/>
      <c r="L44" s="1400"/>
      <c r="P44" s="2190">
        <v>1</v>
      </c>
      <c r="Q44" s="1517"/>
      <c r="R44" s="352"/>
      <c r="S44" s="1529" t="str">
        <f>$I44</f>
        <v>...1</v>
      </c>
      <c r="T44" s="273" t="s">
        <v>1679</v>
      </c>
      <c r="U44" s="288"/>
      <c r="V44" s="2322"/>
      <c r="W44" s="2323"/>
      <c r="X44" s="2323"/>
      <c r="Y44" s="2323"/>
      <c r="Z44" s="2323"/>
      <c r="AA44" s="2323"/>
      <c r="AB44" s="2324"/>
      <c r="AC44" s="2325"/>
      <c r="AD44" s="2326"/>
      <c r="AE44" s="2326"/>
      <c r="AF44" s="2326"/>
      <c r="AG44" s="2326"/>
      <c r="AH44" s="2326"/>
      <c r="AI44" s="2326"/>
      <c r="AJ44" s="2327"/>
      <c r="AK44" s="1292" t="s">
        <v>1680</v>
      </c>
      <c r="AM44" s="508"/>
      <c r="AN44" s="508" t="str">
        <f>IF(T44="","",T44)</f>
        <v>Наименование признака дифференциации</v>
      </c>
      <c r="AO44" s="508"/>
      <c r="AP44" s="508"/>
    </row>
    <row customHeight="1" ht="23.25">
      <c r="A45" s="1399" t="s">
        <v>264</v>
      </c>
      <c r="B45" s="1399" t="s">
        <v>265</v>
      </c>
      <c r="C45" s="1399" t="s">
        <v>266</v>
      </c>
      <c r="D45" s="1399" t="s">
        <v>2101</v>
      </c>
      <c r="E45" s="2192"/>
      <c r="F45" s="2192"/>
      <c r="G45" s="2192"/>
      <c r="H45" s="2192"/>
      <c r="I45" s="2219"/>
      <c r="J45" s="2189" t="str">
        <f>I44&amp;".1"</f>
        <v>...1.1</v>
      </c>
      <c r="K45" s="1399"/>
      <c r="L45" s="1400" t="s">
        <v>471</v>
      </c>
      <c r="P45" s="2190"/>
      <c r="Q45" s="2190">
        <v>1</v>
      </c>
      <c r="R45" s="353"/>
      <c r="S45" s="1529" t="str">
        <f>$J45</f>
        <v>...1.1</v>
      </c>
      <c r="T45" s="274" t="s">
        <v>472</v>
      </c>
      <c r="U45" s="288"/>
      <c r="V45" s="2178"/>
      <c r="W45" s="2179"/>
      <c r="X45" s="2179"/>
      <c r="Y45" s="2179"/>
      <c r="Z45" s="2179"/>
      <c r="AA45" s="2179"/>
      <c r="AB45" s="2180"/>
      <c r="AC45" s="2178"/>
      <c r="AD45" s="2179"/>
      <c r="AE45" s="2179"/>
      <c r="AF45" s="2179"/>
      <c r="AG45" s="2179"/>
      <c r="AH45" s="2179"/>
      <c r="AI45" s="2179"/>
      <c r="AJ45" s="2180"/>
      <c r="AK45" s="1343" t="s">
        <v>1681</v>
      </c>
      <c r="AM45" s="508"/>
      <c r="AN45" s="508" t="str">
        <f>IF(T45="","",T45)</f>
        <v>Группа потребителей</v>
      </c>
      <c r="AO45" s="508"/>
      <c r="AP45" s="508"/>
    </row>
    <row customHeight="1" ht="23.25">
      <c r="A46" s="1399" t="s">
        <v>264</v>
      </c>
      <c r="B46" s="1399" t="s">
        <v>265</v>
      </c>
      <c r="C46" s="1399" t="s">
        <v>266</v>
      </c>
      <c r="D46" s="1399" t="s">
        <v>2101</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264</v>
      </c>
      <c r="B47" s="1399" t="s">
        <v>265</v>
      </c>
      <c r="C47" s="1399" t="s">
        <v>266</v>
      </c>
      <c r="D47" s="1399" t="s">
        <v>2101</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264</v>
      </c>
      <c r="B48" s="1399" t="s">
        <v>265</v>
      </c>
      <c r="C48" s="1399" t="s">
        <v>266</v>
      </c>
      <c r="D48" s="1399" t="s">
        <v>2101</v>
      </c>
      <c r="E48" s="2192"/>
      <c r="F48" s="2192"/>
      <c r="G48" s="2192"/>
      <c r="H48" s="2192"/>
      <c r="I48" s="2219"/>
      <c r="J48" s="2189"/>
      <c r="K48" s="1399"/>
      <c r="L48" s="1400"/>
      <c r="P48" s="2190"/>
      <c r="Q48" s="2190"/>
      <c r="R48" s="352"/>
      <c r="S48" s="1314"/>
      <c r="T48" s="275" t="s">
        <v>1682</v>
      </c>
      <c r="U48" s="367"/>
      <c r="V48" s="367"/>
      <c r="W48" s="367"/>
      <c r="X48" s="367"/>
      <c r="Y48" s="367"/>
      <c r="Z48" s="367"/>
      <c r="AA48" s="367"/>
      <c r="AB48" s="367"/>
      <c r="AC48" s="367"/>
      <c r="AD48" s="367"/>
      <c r="AE48" s="367"/>
      <c r="AF48" s="367"/>
      <c r="AG48" s="367"/>
      <c r="AH48" s="367"/>
      <c r="AI48" s="367"/>
      <c r="AJ48" s="367"/>
      <c r="AK48" s="1292" t="s">
        <v>1683</v>
      </c>
      <c r="AM48" s="508"/>
      <c r="AN48" s="508" t="str">
        <f>IF(T48="","",T48)</f>
        <v>Добавить значение признака дифференциации</v>
      </c>
      <c r="AO48" s="508"/>
      <c r="AP48" s="508"/>
    </row>
    <row customHeight="1" ht="21">
      <c r="A49" s="1399" t="s">
        <v>264</v>
      </c>
      <c r="B49" s="1399" t="s">
        <v>265</v>
      </c>
      <c r="C49" s="1399" t="s">
        <v>266</v>
      </c>
      <c r="D49" s="1399" t="s">
        <v>2101</v>
      </c>
      <c r="E49" s="2192"/>
      <c r="F49" s="2192"/>
      <c r="G49" s="2192"/>
      <c r="H49" s="2192"/>
      <c r="I49" s="2189"/>
      <c r="J49" s="1399"/>
      <c r="K49" s="1399"/>
      <c r="L49" s="1400"/>
      <c r="P49" s="2190"/>
      <c r="Q49" s="1517"/>
      <c r="R49" s="352"/>
      <c r="S49" s="1314"/>
      <c r="T49" s="364" t="s">
        <v>477</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264</v>
      </c>
      <c r="B50" s="1399" t="s">
        <v>265</v>
      </c>
      <c r="C50" s="1399" t="s">
        <v>266</v>
      </c>
      <c r="D50" s="1399" t="s">
        <v>2101</v>
      </c>
      <c r="E50" s="2192"/>
      <c r="F50" s="2192"/>
      <c r="G50" s="2192"/>
      <c r="H50" s="2191"/>
      <c r="I50" s="1399"/>
      <c r="J50" s="1399"/>
      <c r="K50" s="1399"/>
      <c r="L50" s="1400"/>
      <c r="M50" s="1401"/>
      <c r="N50" s="1401"/>
      <c r="O50" s="545"/>
      <c r="P50" s="356"/>
      <c r="Q50" s="376"/>
      <c r="R50" s="351"/>
      <c r="S50" s="1314"/>
      <c r="T50" s="372" t="s">
        <v>1684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9" customFormat="1" customHeight="1" ht="0">
      <c r="A51" s="1379" t="s">
        <v>264</v>
      </c>
      <c r="B51" s="1379" t="s">
        <v>265</v>
      </c>
      <c r="C51" s="1350"/>
      <c r="D51" s="1350"/>
      <c r="E51" s="2192"/>
      <c r="F51" s="2191"/>
      <c r="G51" s="1350"/>
      <c r="H51" s="1350"/>
      <c r="I51" s="1350"/>
      <c r="J51" s="1350"/>
      <c r="K51" s="1350"/>
      <c r="L51" s="1530"/>
      <c r="M51" s="1357"/>
      <c r="N51" s="1357"/>
      <c r="P51" s="1352"/>
      <c r="Q51" s="1353"/>
      <c r="R51" s="1352"/>
      <c r="S51" s="1358"/>
      <c r="T51" s="1361" t="s">
        <v>436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264</v>
      </c>
      <c r="B52" s="1379"/>
      <c r="C52" s="1379"/>
      <c r="D52" s="1379"/>
      <c r="E52" s="2191"/>
      <c r="F52" s="1379"/>
      <c r="G52" s="1379"/>
      <c r="H52" s="1379"/>
      <c r="I52" s="1379"/>
      <c r="J52" s="1379"/>
      <c r="K52" s="1379"/>
      <c r="L52" s="1382"/>
      <c r="M52" s="1357"/>
      <c r="N52" s="1357"/>
      <c r="O52" s="526"/>
      <c r="P52" s="385"/>
      <c r="Q52" s="1380"/>
      <c r="R52" s="385"/>
      <c r="S52" s="1358"/>
      <c r="T52" s="1361" t="s">
        <v>437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9"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510</v>
      </c>
      <c r="T55" s="2218" t="s">
        <v>2099</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510</v>
      </c>
      <c r="T57" s="2218" t="s">
        <v>2100</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821D9F-0AA1-0532-AC68-3342F3C7D6B4}"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59" width="11.57421875" hidden="1" customWidth="1"/>
    <col min="2" max="2" style="3159" width="11.00390625" hidden="1" customWidth="1"/>
    <col min="3" max="3" style="3159" width="10.57421875" hidden="1"/>
    <col min="4" max="4" style="3159" width="12.8515625" hidden="1" customWidth="1"/>
    <col min="5" max="5" style="3159" width="10.00390625" hidden="1" customWidth="1"/>
    <col min="6" max="6" style="3159" width="8.7109375" hidden="1" customWidth="1"/>
    <col min="7" max="7" style="3159" width="7.57421875" hidden="1" customWidth="1"/>
    <col min="8" max="8" style="3159" width="11.421875" hidden="1" customWidth="1"/>
    <col min="9" max="9" style="3159" width="12.00390625" hidden="1" customWidth="1"/>
    <col min="10" max="10" style="3159" width="9.8515625" hidden="1" customWidth="1"/>
    <col min="11" max="11" style="3159" width="11.421875" hidden="1" customWidth="1"/>
    <col min="12" max="12" style="4990" width="19.140625" hidden="1" customWidth="1"/>
    <col min="13" max="14" style="3619" width="12.28125" hidden="1" customWidth="1"/>
    <col min="15" max="15" style="3619" width="23.421875" hidden="1" customWidth="1"/>
    <col min="16" max="16" style="3619" width="3.7109375" hidden="1" customWidth="1"/>
    <col min="17" max="17" style="3621" width="3.7109375" hidden="1" customWidth="1"/>
    <col min="18" max="18" style="3694" width="3.7109375" customWidth="1"/>
    <col min="19" max="19" style="3695" width="12.7109375" customWidth="1"/>
    <col min="20" max="20" style="2876" width="32.00390625" customWidth="1"/>
    <col min="21" max="21" style="2876" width="0.140625" customWidth="1"/>
    <col min="22" max="25" style="2876" width="21.7109375" hidden="1" customWidth="1"/>
    <col min="26" max="26" style="2876" width="11.7109375" hidden="1" customWidth="1"/>
    <col min="27" max="27" style="2876" width="3.7109375" hidden="1" customWidth="1"/>
    <col min="28" max="28" style="2876" width="11.7109375" hidden="1" customWidth="1"/>
    <col min="29" max="29" style="2876" width="8.57421875" hidden="1" customWidth="1"/>
    <col min="30" max="32" style="2876" width="3.7109375" customWidth="1"/>
    <col min="33" max="33" style="2876" width="24.7109375" customWidth="1"/>
    <col min="34" max="36" style="2876" width="3.7109375" customWidth="1"/>
    <col min="37" max="37" style="2876" width="24.7109375" customWidth="1"/>
    <col min="38" max="40" style="2876" width="3.7109375" customWidth="1"/>
    <col min="41" max="41" style="2876" width="18.8515625" customWidth="1"/>
    <col min="42" max="44" style="2876" width="3.7109375" customWidth="1"/>
    <col min="45" max="45" style="2876" width="18.8515625" customWidth="1"/>
    <col min="46" max="49" style="2876" width="21.7109375" customWidth="1"/>
    <col min="50" max="50" style="2876" width="11.7109375" customWidth="1"/>
    <col min="51" max="51" style="2876" width="3.7109375" customWidth="1"/>
    <col min="52" max="52" style="2876" width="11.7109375" customWidth="1"/>
    <col min="53" max="53" style="2876" width="8.57421875" hidden="1" customWidth="1"/>
    <col min="54" max="54" style="2876" width="4.7109375" customWidth="1"/>
    <col min="55" max="55" style="2876"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130</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462</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463</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2094</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2095</v>
      </c>
      <c r="BE4" s="508"/>
      <c r="BF4" s="508" t="str">
        <f>IF(T4="","",T4)</f>
        <v>Наименование централизованной системы водоотведения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467</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468</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58</v>
      </c>
      <c r="AB8" s="1780"/>
      <c r="AC8" s="1505" t="s">
        <v>58</v>
      </c>
      <c r="AD8" s="2022" t="s">
        <v>58</v>
      </c>
      <c r="AE8" s="2251"/>
      <c r="AF8" s="2042">
        <v>1</v>
      </c>
      <c r="AG8" s="2335"/>
      <c r="AH8" s="1946" t="s">
        <v>58</v>
      </c>
      <c r="AI8" s="2251"/>
      <c r="AJ8" s="2042">
        <v>1</v>
      </c>
      <c r="AK8" s="2334" t="s">
        <v>18</v>
      </c>
      <c r="AL8" s="1946" t="s">
        <v>58</v>
      </c>
      <c r="AM8" s="2029"/>
      <c r="AN8" s="2042">
        <v>1</v>
      </c>
      <c r="AO8" s="2328"/>
      <c r="AP8" s="2329" t="s">
        <v>58</v>
      </c>
      <c r="AQ8" s="301"/>
      <c r="AR8" s="1522">
        <v>1</v>
      </c>
      <c r="AS8" s="1528" t="s">
        <v>18</v>
      </c>
      <c r="AT8" s="760"/>
      <c r="AU8" s="1291"/>
      <c r="AV8" s="760"/>
      <c r="AW8" s="1291"/>
      <c r="AX8" s="1780"/>
      <c r="AY8" s="1505" t="s">
        <v>58</v>
      </c>
      <c r="AZ8" s="1780"/>
      <c r="BA8" s="1505" t="s">
        <v>58</v>
      </c>
      <c r="BB8" s="1384"/>
      <c r="BC8" s="2186" t="s">
        <v>1697</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1698</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2102</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2103</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1701</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542</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599"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599"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436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437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479</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7" customFormat="1" customHeight="1" ht="14.25" hidden="1">
      <c r="M24" s="1544"/>
      <c r="N24" s="1544"/>
      <c r="O24" s="1545" t="s">
        <v>480</v>
      </c>
      <c r="P24" s="1544"/>
      <c r="Q24" s="1546"/>
      <c r="R24" s="1546"/>
      <c r="AA24" s="1543" t="s">
        <v>482</v>
      </c>
      <c r="AC24" s="1543" t="s">
        <v>483</v>
      </c>
      <c r="AD24" s="1543" t="s">
        <v>543</v>
      </c>
      <c r="AH24" s="1543" t="s">
        <v>543</v>
      </c>
      <c r="AK24" s="1543" t="s">
        <v>1702</v>
      </c>
      <c r="AL24" s="1543" t="s">
        <v>543</v>
      </c>
      <c r="AP24" s="1543" t="s">
        <v>543</v>
      </c>
      <c r="AY24" s="1543" t="s">
        <v>482</v>
      </c>
      <c r="BA24" s="1543" t="s">
        <v>483</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"Уссурийск-Водоканал"</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28"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28"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485</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28"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486</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28"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40</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28"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485</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28"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486</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28"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489</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489</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293</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294</v>
      </c>
    </row>
    <row customHeight="1" ht="14.25">
      <c r="Q41" s="279"/>
      <c r="R41" s="377"/>
      <c r="S41" s="2206" t="s">
        <v>88</v>
      </c>
      <c r="T41" s="2047" t="s">
        <v>1703</v>
      </c>
      <c r="U41" s="289"/>
      <c r="V41" s="2207" t="s">
        <v>491</v>
      </c>
      <c r="W41" s="2208"/>
      <c r="X41" s="2208"/>
      <c r="Y41" s="2208"/>
      <c r="Z41" s="2208"/>
      <c r="AA41" s="2208"/>
      <c r="AB41" s="2209"/>
      <c r="AC41" s="2210" t="s">
        <v>492</v>
      </c>
      <c r="AD41" s="2253" t="s">
        <v>2104</v>
      </c>
      <c r="AE41" s="2222"/>
      <c r="AF41" s="2222"/>
      <c r="AG41" s="2254"/>
      <c r="AH41" s="2253" t="s">
        <v>2105</v>
      </c>
      <c r="AI41" s="2222"/>
      <c r="AJ41" s="2222"/>
      <c r="AK41" s="2254"/>
      <c r="AL41" s="2253" t="s">
        <v>2106</v>
      </c>
      <c r="AM41" s="2222"/>
      <c r="AN41" s="2222"/>
      <c r="AO41" s="2254"/>
      <c r="AP41" s="2253" t="s">
        <v>1707</v>
      </c>
      <c r="AQ41" s="2222"/>
      <c r="AR41" s="2222"/>
      <c r="AS41" s="2254"/>
      <c r="AT41" s="2207" t="s">
        <v>491</v>
      </c>
      <c r="AU41" s="2208"/>
      <c r="AV41" s="2208"/>
      <c r="AW41" s="2208"/>
      <c r="AX41" s="2208"/>
      <c r="AY41" s="2208"/>
      <c r="AZ41" s="2209"/>
      <c r="BA41" s="2210" t="s">
        <v>492</v>
      </c>
      <c r="BB41" s="2213" t="s">
        <v>494</v>
      </c>
      <c r="BC41" s="1966"/>
    </row>
    <row customHeight="1" ht="33.75">
      <c r="Q42" s="279"/>
      <c r="R42" s="377"/>
      <c r="S42" s="2206"/>
      <c r="T42" s="2047"/>
      <c r="U42" s="1044"/>
      <c r="V42" s="2029" t="s">
        <v>1708</v>
      </c>
      <c r="W42" s="2030"/>
      <c r="X42" s="2029" t="s">
        <v>1709</v>
      </c>
      <c r="Y42" s="2030"/>
      <c r="Z42" s="2225" t="s">
        <v>1710</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2107</v>
      </c>
      <c r="AU42" s="2030"/>
      <c r="AV42" s="2029" t="s">
        <v>2108</v>
      </c>
      <c r="AW42" s="2030"/>
      <c r="AX42" s="2225" t="s">
        <v>1710</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142</v>
      </c>
      <c r="C44" s="1406" t="s">
        <v>143</v>
      </c>
      <c r="D44" s="1406" t="s">
        <v>144</v>
      </c>
      <c r="E44" s="1400" t="s">
        <v>499</v>
      </c>
      <c r="F44" s="1400" t="s">
        <v>500</v>
      </c>
      <c r="G44" s="1400" t="s">
        <v>501</v>
      </c>
      <c r="H44" s="1400" t="s">
        <v>502</v>
      </c>
      <c r="I44" s="1400" t="s">
        <v>503</v>
      </c>
      <c r="J44" s="1400" t="s">
        <v>504</v>
      </c>
      <c r="K44" s="1400" t="s">
        <v>505</v>
      </c>
      <c r="L44" s="1400" t="s">
        <v>480</v>
      </c>
      <c r="Q44" s="279"/>
      <c r="R44" s="377"/>
      <c r="S44" s="2206"/>
      <c r="T44" s="2047"/>
      <c r="U44" s="290"/>
      <c r="V44" s="1515" t="s">
        <v>553</v>
      </c>
      <c r="W44" s="1515" t="s">
        <v>554</v>
      </c>
      <c r="X44" s="1515" t="s">
        <v>553</v>
      </c>
      <c r="Y44" s="1515" t="s">
        <v>554</v>
      </c>
      <c r="Z44" s="1525" t="s">
        <v>508</v>
      </c>
      <c r="AA44" s="2203" t="s">
        <v>509</v>
      </c>
      <c r="AB44" s="2204"/>
      <c r="AC44" s="2212"/>
      <c r="AD44" s="2258"/>
      <c r="AE44" s="2259"/>
      <c r="AF44" s="2259"/>
      <c r="AG44" s="2260"/>
      <c r="AH44" s="2258"/>
      <c r="AI44" s="2259"/>
      <c r="AJ44" s="2259"/>
      <c r="AK44" s="2260"/>
      <c r="AL44" s="2258"/>
      <c r="AM44" s="2259"/>
      <c r="AN44" s="2259"/>
      <c r="AO44" s="2260"/>
      <c r="AP44" s="2258"/>
      <c r="AQ44" s="2259"/>
      <c r="AR44" s="2259"/>
      <c r="AS44" s="2260"/>
      <c r="AT44" s="1515" t="s">
        <v>553</v>
      </c>
      <c r="AU44" s="1515" t="s">
        <v>554</v>
      </c>
      <c r="AV44" s="1515" t="s">
        <v>553</v>
      </c>
      <c r="AW44" s="1515" t="s">
        <v>554</v>
      </c>
      <c r="AX44" s="1525" t="s">
        <v>508</v>
      </c>
      <c r="AY44" s="2203" t="s">
        <v>509</v>
      </c>
      <c r="AZ44" s="2204"/>
      <c r="BA44" s="2212"/>
      <c r="BB44" s="2215"/>
      <c r="BC44" s="1966"/>
    </row>
    <row s="2586"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269</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130</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269</v>
      </c>
      <c r="B47" s="1399" t="s">
        <v>270</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462</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463</v>
      </c>
      <c r="BE47" s="508"/>
      <c r="BF47" s="508" t="str">
        <f>IF(T47="","",T47)</f>
        <v>Территория действия тарифа</v>
      </c>
      <c r="BG47" s="508"/>
      <c r="BH47" s="508"/>
    </row>
    <row customHeight="1" ht="33.75">
      <c r="A48" s="1399" t="s">
        <v>269</v>
      </c>
      <c r="B48" s="1399" t="s">
        <v>270</v>
      </c>
      <c r="C48" s="1399" t="s">
        <v>271</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2094</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2095</v>
      </c>
      <c r="BE48" s="508"/>
      <c r="BF48" s="508" t="str">
        <f>IF(T48="","",T48)</f>
        <v>Наименование централизованной системы водоотведения</v>
      </c>
      <c r="BG48" s="508"/>
      <c r="BH48" s="508"/>
    </row>
    <row s="2587" customFormat="1" customHeight="1" ht="0">
      <c r="A49" s="1379" t="s">
        <v>269</v>
      </c>
      <c r="B49" s="1379" t="s">
        <v>270</v>
      </c>
      <c r="C49" s="1379" t="s">
        <v>271</v>
      </c>
      <c r="D49" s="1379" t="s">
        <v>2109</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467</v>
      </c>
      <c r="BE49" s="508"/>
      <c r="BF49" s="508" t="str">
        <f>IF(T49="","",T49)</f>
        <v/>
      </c>
      <c r="BG49" s="508"/>
      <c r="BH49" s="508"/>
    </row>
    <row s="2587" customFormat="1" customHeight="1" ht="0">
      <c r="A50" s="1379" t="s">
        <v>269</v>
      </c>
      <c r="B50" s="1379" t="s">
        <v>270</v>
      </c>
      <c r="C50" s="1379" t="s">
        <v>271</v>
      </c>
      <c r="D50" s="1379" t="s">
        <v>2109</v>
      </c>
      <c r="E50" s="2192"/>
      <c r="F50" s="2192"/>
      <c r="G50" s="2192"/>
      <c r="H50" s="2192"/>
      <c r="I50" s="2189" t="str">
        <f>S49&amp;".1"</f>
        <v>.1</v>
      </c>
      <c r="J50" s="1379"/>
      <c r="K50" s="1379"/>
      <c r="L50" s="1382" t="s">
        <v>468</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269</v>
      </c>
      <c r="B51" s="1379" t="s">
        <v>270</v>
      </c>
      <c r="C51" s="1379" t="s">
        <v>271</v>
      </c>
      <c r="D51" s="1379" t="s">
        <v>2109</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269</v>
      </c>
      <c r="B52" s="1399" t="s">
        <v>270</v>
      </c>
      <c r="C52" s="1399" t="s">
        <v>271</v>
      </c>
      <c r="D52" s="1399" t="s">
        <v>2109</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58</v>
      </c>
      <c r="AB52" s="1780"/>
      <c r="AC52" s="1505" t="s">
        <v>58</v>
      </c>
      <c r="AD52" s="2022" t="s">
        <v>58</v>
      </c>
      <c r="AE52" s="2251"/>
      <c r="AF52" s="2042">
        <v>1</v>
      </c>
      <c r="AG52" s="2335"/>
      <c r="AH52" s="1946" t="s">
        <v>58</v>
      </c>
      <c r="AI52" s="2251"/>
      <c r="AJ52" s="2042">
        <v>1</v>
      </c>
      <c r="AK52" s="2334" t="s">
        <v>18</v>
      </c>
      <c r="AL52" s="1946" t="s">
        <v>58</v>
      </c>
      <c r="AM52" s="2029"/>
      <c r="AN52" s="2042">
        <v>1</v>
      </c>
      <c r="AO52" s="2328"/>
      <c r="AP52" s="2329" t="s">
        <v>58</v>
      </c>
      <c r="AQ52" s="301"/>
      <c r="AR52" s="1522">
        <v>1</v>
      </c>
      <c r="AS52" s="1528" t="s">
        <v>18</v>
      </c>
      <c r="AT52" s="760"/>
      <c r="AU52" s="1291"/>
      <c r="AV52" s="760"/>
      <c r="AW52" s="1291"/>
      <c r="AX52" s="1780"/>
      <c r="AY52" s="1505" t="s">
        <v>58</v>
      </c>
      <c r="AZ52" s="1780"/>
      <c r="BA52" s="1505" t="s">
        <v>58</v>
      </c>
      <c r="BB52" s="1384"/>
      <c r="BC52" s="2186" t="s">
        <v>1697</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1698</v>
      </c>
      <c r="AT53" s="1429"/>
      <c r="AU53" s="1532"/>
      <c r="AV53" s="1429"/>
      <c r="AW53" s="1532"/>
      <c r="AX53" s="1429"/>
      <c r="AY53" s="1429"/>
      <c r="AZ53" s="1429"/>
      <c r="BA53" s="1429"/>
      <c r="BB53" s="1433"/>
      <c r="BC53" s="2187"/>
      <c r="BE53" s="508"/>
      <c r="BF53" s="508"/>
      <c r="BG53" s="508"/>
      <c r="BH53" s="508"/>
    </row>
    <row customHeight="1" ht="11.25">
      <c r="A54" s="1399" t="s">
        <v>269</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2102</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269</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2103</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269</v>
      </c>
      <c r="B56" s="1399" t="s">
        <v>270</v>
      </c>
      <c r="C56" s="1399" t="s">
        <v>271</v>
      </c>
      <c r="D56" s="1399" t="s">
        <v>2109</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1701</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269</v>
      </c>
      <c r="B57" s="1399" t="s">
        <v>270</v>
      </c>
      <c r="C57" s="1399" t="s">
        <v>271</v>
      </c>
      <c r="D57" s="1399" t="s">
        <v>2109</v>
      </c>
      <c r="E57" s="2192"/>
      <c r="F57" s="2192"/>
      <c r="G57" s="2192"/>
      <c r="H57" s="2192"/>
      <c r="I57" s="2219"/>
      <c r="J57" s="2189"/>
      <c r="K57" s="1399"/>
      <c r="L57" s="1400"/>
      <c r="P57" s="2190"/>
      <c r="Q57" s="2190"/>
      <c r="R57" s="352"/>
      <c r="S57" s="1314"/>
      <c r="T57" s="275" t="s">
        <v>542</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269</v>
      </c>
      <c r="B58" s="1379" t="s">
        <v>270</v>
      </c>
      <c r="C58" s="1379" t="s">
        <v>271</v>
      </c>
      <c r="D58" s="1379" t="s">
        <v>2109</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269</v>
      </c>
      <c r="B59" s="1379" t="s">
        <v>270</v>
      </c>
      <c r="C59" s="1379" t="s">
        <v>271</v>
      </c>
      <c r="D59" s="1379" t="s">
        <v>2109</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599" customFormat="1" customHeight="1" ht="0">
      <c r="A60" s="1379" t="s">
        <v>269</v>
      </c>
      <c r="B60" s="1379" t="s">
        <v>270</v>
      </c>
      <c r="C60" s="1379" t="s">
        <v>271</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599" customFormat="1" customHeight="1" ht="0">
      <c r="A61" s="1379" t="s">
        <v>269</v>
      </c>
      <c r="B61" s="1379" t="s">
        <v>270</v>
      </c>
      <c r="C61" s="1350"/>
      <c r="D61" s="1350"/>
      <c r="E61" s="2192"/>
      <c r="F61" s="2191"/>
      <c r="G61" s="1350"/>
      <c r="H61" s="1350"/>
      <c r="I61" s="1350"/>
      <c r="J61" s="1350"/>
      <c r="K61" s="1350"/>
      <c r="L61" s="1530"/>
      <c r="M61" s="1357"/>
      <c r="N61" s="1357"/>
      <c r="P61" s="1352"/>
      <c r="Q61" s="1353"/>
      <c r="R61" s="1352"/>
      <c r="S61" s="1358"/>
      <c r="T61" s="1361" t="s">
        <v>436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269</v>
      </c>
      <c r="B62" s="1379"/>
      <c r="C62" s="1379"/>
      <c r="D62" s="1379"/>
      <c r="E62" s="2191"/>
      <c r="F62" s="1379"/>
      <c r="G62" s="1379"/>
      <c r="H62" s="1379"/>
      <c r="I62" s="1379"/>
      <c r="J62" s="1379"/>
      <c r="K62" s="1379"/>
      <c r="L62" s="1382"/>
      <c r="M62" s="1357"/>
      <c r="N62" s="1357"/>
      <c r="O62" s="526"/>
      <c r="P62" s="385"/>
      <c r="Q62" s="1380"/>
      <c r="R62" s="385"/>
      <c r="S62" s="1358"/>
      <c r="T62" s="1361" t="s">
        <v>437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599"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438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4.25" hidden="1">
      <c r="O65" s="545"/>
      <c r="S65" s="1279" t="s">
        <v>510</v>
      </c>
      <c r="T65" s="2218" t="s">
        <v>1712</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510</v>
      </c>
      <c r="T67" s="2218" t="s">
        <v>1713</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C6296C-2769-B20C-5A98-2A4021CE86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9C519-BFAF-1A45-3874-235C15E72A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8C6EFA-4C31-93E9-37DF-5412D6D938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69CF31-7206-A387-E2D3-C513716909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DEE05-756C-440F-8FD1-B080958BC9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168297-DB58-251A-395A-77A093F9FB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78F8AB-93D3-D3DF-0036-8134FE8A4085}"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5005" width="9.140625" hidden="1"/>
    <col min="2" max="2" style="5006" width="9.140625" hidden="1"/>
    <col min="3" max="3" style="5007" width="3.7109375" customWidth="1"/>
    <col min="4" max="4" style="5013" width="7.00390625" customWidth="1"/>
    <col min="5" max="5" style="5013" width="23.140625" customWidth="1"/>
    <col min="6" max="6" style="5013" width="16.00390625" customWidth="1"/>
    <col min="7" max="7" style="5013" width="14.8515625" customWidth="1"/>
    <col min="8" max="8" style="5013" width="47.8515625" customWidth="1"/>
    <col min="9" max="9" style="5013" width="115.7109375" customWidth="1"/>
    <col min="10" max="10" style="5013" width="3.7109375" customWidth="1"/>
    <col min="11" max="12" style="5013" width="9.140625"/>
  </cols>
  <sheetData>
    <row customHeight="1" ht="14.25" hidden="1"/>
    <row customHeight="1" ht="14.25" hidden="1"/>
    <row customHeight="1" ht="14.25" hidden="1"/>
    <row customHeight="1" ht="3"/>
    <row s="2663" customFormat="1" customHeight="1" ht="30">
      <c r="A5" s="101"/>
      <c r="C5" s="75"/>
      <c r="D5" s="1939" t="s">
        <v>2110</v>
      </c>
      <c r="E5" s="1939"/>
      <c r="F5" s="1939"/>
      <c r="G5" s="1939"/>
      <c r="H5" s="1939"/>
      <c r="I5" s="251"/>
    </row>
    <row customHeight="1" ht="3" hidden="1">
      <c r="D6" s="108"/>
      <c r="E6" s="108"/>
      <c r="F6" s="108"/>
      <c r="G6" s="108"/>
      <c r="H6" s="108"/>
      <c r="I6" s="108"/>
    </row>
    <row s="5005" customFormat="1" customHeight="1" ht="14.25">
      <c r="B7" s="105"/>
      <c r="C7" s="106"/>
      <c r="D7" s="109"/>
      <c r="E7" s="109"/>
      <c r="F7" s="109"/>
      <c r="G7" s="109"/>
      <c r="H7" s="762"/>
      <c r="I7" s="109"/>
      <c r="J7" s="110"/>
    </row>
    <row customHeight="1" ht="14.25">
      <c r="D8" s="2047" t="s">
        <v>293</v>
      </c>
      <c r="E8" s="2047"/>
      <c r="F8" s="2047"/>
      <c r="G8" s="2047"/>
      <c r="H8" s="2047"/>
      <c r="I8" s="2047" t="s">
        <v>294</v>
      </c>
    </row>
    <row customHeight="1" ht="27.75">
      <c r="D9" s="2047" t="s">
        <v>88</v>
      </c>
      <c r="E9" s="2047" t="s">
        <v>2111</v>
      </c>
      <c r="F9" s="2047"/>
      <c r="G9" s="2047"/>
      <c r="H9" s="2047"/>
      <c r="I9" s="2047"/>
    </row>
    <row customHeight="1" ht="22.5">
      <c r="D10" s="2047"/>
      <c r="E10" s="113" t="s">
        <v>2112</v>
      </c>
      <c r="F10" s="113" t="s">
        <v>2113</v>
      </c>
      <c r="G10" s="113" t="s">
        <v>2114</v>
      </c>
      <c r="H10" s="113" t="s">
        <v>385</v>
      </c>
      <c r="I10" s="2047"/>
    </row>
    <row customHeight="1" ht="12" hidden="1">
      <c r="D11" s="72" t="s">
        <v>109</v>
      </c>
      <c r="E11" s="72" t="s">
        <v>91</v>
      </c>
      <c r="F11" s="72" t="s">
        <v>111</v>
      </c>
      <c r="G11" s="72" t="s">
        <v>92</v>
      </c>
      <c r="H11" s="72" t="s">
        <v>93</v>
      </c>
      <c r="I11" s="72" t="s">
        <v>112</v>
      </c>
    </row>
    <row s="5011" customFormat="1" customHeight="1" ht="24.75">
      <c r="A12" s="131" t="s">
        <v>90</v>
      </c>
      <c r="B12" s="111" t="s">
        <v>18</v>
      </c>
      <c r="C12" s="112"/>
      <c r="D12" s="114" t="s">
        <v>109</v>
      </c>
      <c r="E12" s="387"/>
      <c r="F12" s="387"/>
      <c r="G12" s="1780" t="s">
        <v>18</v>
      </c>
      <c r="H12" s="388"/>
      <c r="I12" s="2006" t="s">
        <v>2115</v>
      </c>
      <c r="K12" s="258"/>
      <c r="L12" s="259"/>
    </row>
    <row customHeight="1" ht="15">
      <c r="A13" s="107"/>
      <c r="B13" s="107"/>
      <c r="C13" s="107"/>
      <c r="D13" s="95"/>
      <c r="E13" s="116" t="s">
        <v>542</v>
      </c>
      <c r="F13" s="115"/>
      <c r="G13" s="115"/>
      <c r="H13" s="200"/>
      <c r="I13" s="2008"/>
    </row>
    <row customHeight="1" ht="3">
      <c r="A14" s="107"/>
      <c r="B14" s="107"/>
      <c r="C14" s="107"/>
    </row>
    <row customHeight="1" ht="27.75">
      <c r="E15" s="2401" t="s">
        <v>2116</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4D4347-270D-62C3-1464-5F9155FE7A62}"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3152" width="9.140625" hidden="1"/>
    <col min="3" max="3" style="5032" width="3.7109375" customWidth="1"/>
    <col min="4" max="4" style="3152" width="6.28125" customWidth="1"/>
    <col min="5" max="5" style="3152" width="94.8515625" customWidth="1"/>
    <col min="6" max="9" style="3152"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2117</v>
      </c>
      <c r="E7" s="2403"/>
      <c r="F7" s="253"/>
    </row>
    <row customHeight="1" ht="3">
      <c r="C8" s="77"/>
      <c r="D8" s="55"/>
      <c r="E8" s="55"/>
    </row>
    <row customHeight="1" ht="15.75">
      <c r="C9" s="77"/>
      <c r="D9" s="91" t="s">
        <v>88</v>
      </c>
      <c r="E9" s="246" t="s">
        <v>2118</v>
      </c>
    </row>
    <row customHeight="1" ht="12">
      <c r="C10" s="77"/>
      <c r="D10" s="72" t="s">
        <v>109</v>
      </c>
      <c r="E10" s="72" t="s">
        <v>110</v>
      </c>
    </row>
    <row customHeight="1" ht="11.25" hidden="1">
      <c r="C11" s="77"/>
      <c r="D11" s="136">
        <v>0</v>
      </c>
      <c r="E11" s="247"/>
    </row>
    <row customHeight="1" ht="15">
      <c r="C12" s="122"/>
      <c r="D12" s="99">
        <v>1</v>
      </c>
      <c r="E12" s="380"/>
    </row>
    <row customHeight="1" ht="12">
      <c r="C13" s="77"/>
      <c r="D13" s="248"/>
      <c r="E13" s="249" t="s">
        <v>2119</v>
      </c>
    </row>
    <row customHeight="1" ht="3"/>
    <row customHeight="1" ht="22.5">
      <c r="C15" s="123"/>
      <c r="D15" s="2404" t="s">
        <v>2120</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1744C4-1D63-668B-D86B-164156397B89}" mc:Ignorable="x14ac xr xr2 xr3">
  <dimension ref="A1:I24"/>
  <sheetViews>
    <sheetView topLeftCell="A1" showGridLines="0" zoomScale="90" workbookViewId="0">
      <selection activeCell="A1" sqref="A1"/>
    </sheetView>
  </sheetViews>
  <sheetFormatPr defaultColWidth="9.140625" customHeight="1" defaultRowHeight="11.25"/>
  <cols>
    <col min="1" max="2" style="2945" width="15.00390625" hidden="1" customWidth="1"/>
    <col min="3" max="3" style="3024" width="3.7109375" customWidth="1"/>
    <col min="4" max="4" style="3025" width="6.8515625" customWidth="1"/>
    <col min="5" max="5" style="3024" width="52.28125" customWidth="1"/>
    <col min="6" max="6" style="3024" width="48.8515625" customWidth="1"/>
    <col min="7" max="7" style="3024" width="93.421875" customWidth="1"/>
    <col min="8" max="8" style="3024" width="9.140625"/>
    <col min="9" max="9" style="3024" width="65.00390625" customWidth="1"/>
  </cols>
  <sheetData>
    <row customHeight="1" ht="11.25" hidden="1">
      <c r="A1" s="509" t="s">
        <v>292</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1997"/>
      <c r="F5" s="1998"/>
      <c r="I5" s="723"/>
    </row>
    <row customHeight="1" ht="17.25">
      <c r="D6" s="2049" t="str">
        <f>IF(region_name=0,"Не определено",region_name)</f>
        <v>Приморский край</v>
      </c>
      <c r="E6" s="2049"/>
      <c r="F6" s="2049"/>
      <c r="I6" s="723"/>
    </row>
    <row s="2944"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293</v>
      </c>
      <c r="E9" s="2042"/>
      <c r="F9" s="2042"/>
      <c r="G9" s="2046" t="s">
        <v>294</v>
      </c>
    </row>
    <row customHeight="1" ht="11.25">
      <c r="A10" s="510"/>
      <c r="B10" s="510"/>
      <c r="C10" s="465"/>
      <c r="D10" s="1510" t="s">
        <v>88</v>
      </c>
      <c r="E10" s="1512" t="s">
        <v>295</v>
      </c>
      <c r="F10" s="1512" t="s">
        <v>296</v>
      </c>
      <c r="G10" s="2047"/>
    </row>
    <row customHeight="1" ht="12">
      <c r="A11" s="510"/>
      <c r="B11" s="510"/>
      <c r="C11" s="465"/>
      <c r="D11" s="472"/>
      <c r="E11" s="472"/>
      <c r="F11" s="472"/>
      <c r="G11" s="472"/>
    </row>
    <row customHeight="1" ht="22.5">
      <c r="A12" s="510"/>
      <c r="B12" s="510"/>
      <c r="C12" s="465"/>
      <c r="D12" s="1556">
        <v>1</v>
      </c>
      <c r="E12" s="482" t="s">
        <v>2121</v>
      </c>
      <c r="F12" s="1913" t="str">
        <f>IF(org="","",org)</f>
        <v>МУП "Уссурийск-Водоканал"</v>
      </c>
      <c r="G12" s="482" t="s">
        <v>2122</v>
      </c>
      <c r="H12" s="1569"/>
    </row>
    <row customHeight="1" ht="18.75">
      <c r="A13" s="510"/>
      <c r="B13" s="510"/>
      <c r="C13" s="465"/>
      <c r="D13" s="1556">
        <v>2</v>
      </c>
      <c r="E13" s="1563" t="s">
        <v>2123</v>
      </c>
      <c r="F13" s="1557" t="s">
        <v>299</v>
      </c>
      <c r="G13" s="482"/>
      <c r="H13" s="1569"/>
    </row>
    <row customHeight="1" ht="18.75">
      <c r="A14" s="510"/>
      <c r="B14" s="510"/>
      <c r="C14" s="465"/>
      <c r="D14" s="1559" t="s">
        <v>456</v>
      </c>
      <c r="E14" s="1560" t="s">
        <v>2124</v>
      </c>
      <c r="F14" s="1562"/>
      <c r="G14" s="1561" t="s">
        <v>2125</v>
      </c>
      <c r="H14" s="1569"/>
    </row>
    <row customHeight="1" ht="18.75">
      <c r="A15" s="510"/>
      <c r="B15" s="510"/>
      <c r="C15" s="465"/>
      <c r="D15" s="1559" t="s">
        <v>300</v>
      </c>
      <c r="E15" s="1560" t="s">
        <v>2126</v>
      </c>
      <c r="F15" s="1562"/>
      <c r="G15" s="1561" t="s">
        <v>2127</v>
      </c>
      <c r="H15" s="1569"/>
    </row>
    <row customHeight="1" ht="36.75">
      <c r="A16" s="510"/>
      <c r="B16" s="510"/>
      <c r="C16" s="465"/>
      <c r="D16" s="1559" t="s">
        <v>303</v>
      </c>
      <c r="E16" s="1558" t="s">
        <v>2128</v>
      </c>
      <c r="F16" s="1567"/>
      <c r="G16" s="482" t="s">
        <v>2129</v>
      </c>
      <c r="H16" s="1569"/>
    </row>
    <row customHeight="1" ht="45">
      <c r="A17" s="510"/>
      <c r="B17" s="510"/>
      <c r="C17" s="465"/>
      <c r="D17" s="1556">
        <v>3</v>
      </c>
      <c r="E17" s="1563" t="s">
        <v>2130</v>
      </c>
      <c r="F17" s="1562"/>
      <c r="G17" s="482" t="s">
        <v>2131</v>
      </c>
      <c r="H17" s="1569"/>
    </row>
    <row customHeight="1" ht="45">
      <c r="A18" s="1511">
        <v>1</v>
      </c>
      <c r="B18" s="510"/>
      <c r="C18" s="1513"/>
      <c r="D18" s="1556" t="s">
        <v>91</v>
      </c>
      <c r="E18" s="1563" t="s">
        <v>2132</v>
      </c>
      <c r="F18" s="1562"/>
      <c r="G18" s="482" t="s">
        <v>2131</v>
      </c>
      <c r="H18" s="1569"/>
      <c r="I18" s="862"/>
    </row>
    <row customHeight="1" ht="22.5">
      <c r="A19" s="510"/>
      <c r="B19" s="510"/>
      <c r="C19" s="465"/>
      <c r="D19" s="1556" t="s">
        <v>111</v>
      </c>
      <c r="E19" s="1563" t="s">
        <v>2133</v>
      </c>
      <c r="F19" s="1557" t="s">
        <v>299</v>
      </c>
      <c r="G19" s="2405" t="s">
        <v>2134</v>
      </c>
      <c r="H19" s="483"/>
    </row>
    <row s="5051" customFormat="1" customHeight="1" ht="5.25" hidden="1">
      <c r="A20" s="510"/>
      <c r="B20" s="510"/>
      <c r="C20" s="1565"/>
      <c r="D20" s="1564" t="s">
        <v>1640</v>
      </c>
      <c r="E20" s="1027"/>
      <c r="F20" s="1026"/>
      <c r="G20" s="2406"/>
    </row>
    <row customHeight="1" ht="15">
      <c r="A21" s="510"/>
      <c r="B21" s="510"/>
      <c r="C21" s="465"/>
      <c r="D21" s="475"/>
      <c r="E21" s="422" t="s">
        <v>334</v>
      </c>
      <c r="F21" s="477"/>
      <c r="G21" s="2407"/>
      <c r="H21" s="1569"/>
    </row>
    <row s="2945" customFormat="1" customHeight="1" ht="24.75">
      <c r="A22" s="510"/>
      <c r="B22" s="510"/>
      <c r="C22" s="510"/>
      <c r="D22" s="1556" t="s">
        <v>92</v>
      </c>
      <c r="E22" s="482" t="s">
        <v>2135</v>
      </c>
      <c r="F22" s="1562"/>
      <c r="G22" s="482" t="s">
        <v>2136</v>
      </c>
      <c r="H22" s="1568"/>
    </row>
    <row s="2945" customFormat="1" customHeight="1" ht="18.75">
      <c r="A23" s="510"/>
      <c r="B23" s="510"/>
      <c r="C23" s="510"/>
      <c r="D23" s="1556" t="s">
        <v>93</v>
      </c>
      <c r="E23" s="1563" t="s">
        <v>2137</v>
      </c>
      <c r="F23" s="1567"/>
      <c r="G23" s="482" t="s">
        <v>2138</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49B98-9AAF-E435-C61C-117BFED5AB13}" mc:Ignorable="x14ac xr xr2 xr3">
  <dimension ref="A1:IT23"/>
  <sheetViews>
    <sheetView topLeftCell="A1" showGridLines="0" zoomScale="90" workbookViewId="0">
      <selection activeCell="A1" sqref="A1"/>
    </sheetView>
  </sheetViews>
  <sheetFormatPr defaultColWidth="9.140625" customHeight="1" defaultRowHeight="14.25"/>
  <cols>
    <col min="1" max="1" style="2876" width="9.140625" hidden="1"/>
    <col min="2" max="2" style="3159" width="9.140625" hidden="1"/>
    <col min="3" max="3" style="2876" width="3.7109375" hidden="1" customWidth="1"/>
    <col min="4" max="4" style="3089" width="3.8515625" customWidth="1"/>
    <col min="5" max="5" style="2876" width="6.28125" customWidth="1"/>
    <col min="6" max="6" style="2876" width="46.7109375" customWidth="1"/>
    <col min="7" max="8" style="2876" width="16.7109375" customWidth="1"/>
    <col min="9" max="9" style="2876" width="35.28125" customWidth="1"/>
    <col min="10" max="10" style="2876" width="89.57421875" customWidth="1"/>
    <col min="11" max="11" style="2640" width="3.7109375" customWidth="1"/>
    <col min="12" max="14" style="2640" width="9.140625"/>
    <col min="15" max="15" style="2606" width="25.7109375" customWidth="1"/>
    <col min="16" max="16" style="2640" width="14.421875" customWidth="1"/>
    <col min="17" max="20" style="2607" width="9.140625"/>
    <col min="21" max="254" style="2876" width="9.140625"/>
  </cols>
  <sheetData>
    <row customHeight="1" ht="14.25" hidden="1"/>
    <row s="2641"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7" customFormat="1" customHeight="1" ht="5.25" hidden="1">
      <c r="A3" s="504"/>
      <c r="D3" s="502"/>
      <c r="F3" s="233" t="s">
        <v>83</v>
      </c>
      <c r="G3" s="502" t="s">
        <v>84</v>
      </c>
      <c r="H3" s="502"/>
      <c r="I3" s="502"/>
      <c r="J3" s="213" t="s">
        <v>85</v>
      </c>
      <c r="K3" s="233" t="s">
        <v>83</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2" customFormat="1" customHeight="1" ht="14.25">
      <c r="A4" s="1169"/>
      <c r="B4" s="1174"/>
      <c r="C4" s="1169"/>
      <c r="D4" s="1531"/>
      <c r="E4" s="517"/>
      <c r="F4" s="517"/>
      <c r="G4" s="517"/>
      <c r="H4" s="517"/>
      <c r="I4" s="517"/>
      <c r="J4" s="152"/>
      <c r="K4" s="233"/>
      <c r="L4" s="508"/>
      <c r="M4" s="508"/>
      <c r="N4" s="508"/>
      <c r="O4" s="212"/>
      <c r="P4" s="508"/>
      <c r="Q4" s="211"/>
      <c r="R4" s="211"/>
      <c r="S4" s="211"/>
      <c r="T4" s="211"/>
    </row>
    <row s="2632"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39"/>
      <c r="G5" s="1939"/>
      <c r="H5" s="1939"/>
      <c r="I5" s="1939"/>
      <c r="J5" s="1939"/>
      <c r="K5" s="233"/>
      <c r="L5" s="508"/>
      <c r="M5" s="508"/>
      <c r="N5" s="508"/>
      <c r="O5" s="212"/>
      <c r="P5" s="508"/>
      <c r="Q5" s="211"/>
      <c r="R5" s="211"/>
      <c r="S5" s="211"/>
      <c r="T5" s="211"/>
    </row>
    <row s="2632" customFormat="1" customHeight="1" ht="14.25">
      <c r="A6" s="1169"/>
      <c r="B6" s="1174"/>
      <c r="C6" s="1169"/>
      <c r="D6" s="1531"/>
      <c r="E6" s="517"/>
      <c r="F6" s="153"/>
      <c r="G6" s="153"/>
      <c r="H6" s="153"/>
      <c r="I6" s="153"/>
      <c r="J6" s="154"/>
      <c r="K6" s="508"/>
      <c r="L6" s="508"/>
      <c r="M6" s="508"/>
      <c r="N6" s="508"/>
      <c r="O6" s="212"/>
      <c r="P6" s="508"/>
      <c r="Q6" s="211"/>
      <c r="R6" s="211"/>
      <c r="S6" s="211"/>
      <c r="T6" s="211"/>
    </row>
    <row s="2632" customFormat="1" customHeight="1" ht="14.25">
      <c r="A7" s="1169"/>
      <c r="B7" s="1174"/>
      <c r="C7" s="1169"/>
      <c r="D7" s="1531"/>
      <c r="E7" s="1940" t="s">
        <v>293</v>
      </c>
      <c r="F7" s="1941"/>
      <c r="G7" s="1941"/>
      <c r="H7" s="1941"/>
      <c r="I7" s="1941"/>
      <c r="J7" s="2408" t="s">
        <v>294</v>
      </c>
      <c r="K7" s="508"/>
      <c r="L7" s="508"/>
      <c r="M7" s="508"/>
      <c r="N7" s="508"/>
      <c r="O7" s="212"/>
      <c r="P7" s="508"/>
      <c r="Q7" s="211"/>
      <c r="R7" s="211"/>
      <c r="S7" s="211"/>
      <c r="T7" s="211"/>
    </row>
    <row s="2632" customFormat="1" customHeight="1" ht="20.25">
      <c r="A8" s="1169"/>
      <c r="B8" s="1174"/>
      <c r="C8" s="1169"/>
      <c r="D8" s="1531"/>
      <c r="E8" s="1591" t="s">
        <v>88</v>
      </c>
      <c r="F8" s="1576" t="s">
        <v>2139</v>
      </c>
      <c r="G8" s="1576" t="s">
        <v>48</v>
      </c>
      <c r="H8" s="1576" t="s">
        <v>50</v>
      </c>
      <c r="I8" s="1576" t="s">
        <v>2140</v>
      </c>
      <c r="J8" s="2409"/>
      <c r="K8" s="508"/>
      <c r="L8" s="508"/>
      <c r="M8" s="508"/>
      <c r="N8" s="508"/>
      <c r="O8" s="212"/>
      <c r="P8" s="508"/>
      <c r="Q8" s="211"/>
      <c r="R8" s="211"/>
      <c r="S8" s="211"/>
      <c r="T8" s="211"/>
    </row>
    <row s="2641" customFormat="1" customHeight="1" ht="22.5">
      <c r="A9" s="1938"/>
      <c r="B9" s="1174">
        <v>1</v>
      </c>
      <c r="C9" s="1174"/>
      <c r="D9" s="811"/>
      <c r="E9" s="1520">
        <v>1</v>
      </c>
      <c r="F9" s="1590"/>
      <c r="G9" s="1527"/>
      <c r="H9" s="1527"/>
      <c r="I9" s="1574"/>
      <c r="J9" s="2410" t="s">
        <v>2141</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1" customFormat="1" customHeight="1" ht="15">
      <c r="A10" s="1938"/>
      <c r="B10" s="1174"/>
      <c r="C10" s="419"/>
      <c r="D10" s="811"/>
      <c r="E10" s="1577"/>
      <c r="F10" s="1536" t="s">
        <v>2142</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2"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2"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2"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4" customFormat="1" customHeight="1" ht="10.5">
      <c r="B14" s="844"/>
      <c r="D14" s="168"/>
      <c r="K14" s="508"/>
      <c r="L14" s="508"/>
      <c r="M14" s="508"/>
      <c r="N14" s="508"/>
      <c r="O14" s="212"/>
      <c r="P14" s="508"/>
      <c r="Q14" s="211"/>
      <c r="R14" s="211"/>
      <c r="S14" s="211"/>
      <c r="T14" s="211"/>
    </row>
    <row s="2664"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751FDE-005C-AEA3-CF81-37F31CDDA62E}" mc:Ignorable="x14ac xr xr2 xr3">
  <dimension ref="A1:IV14"/>
  <sheetViews>
    <sheetView topLeftCell="A1" showGridLines="0" zoomScale="90" workbookViewId="0">
      <selection activeCell="A1" sqref="A1"/>
    </sheetView>
  </sheetViews>
  <sheetFormatPr defaultColWidth="9.140625" customHeight="1" defaultRowHeight="14.25"/>
  <cols>
    <col min="1" max="1" style="2876" width="9.140625" hidden="1"/>
    <col min="2" max="2" style="3159" width="9.140625" hidden="1"/>
    <col min="3" max="3" style="2876" width="3.7109375" hidden="1" customWidth="1"/>
    <col min="4" max="4" style="3089" width="3.8515625" customWidth="1"/>
    <col min="5" max="5" style="2876" width="6.28125" customWidth="1"/>
    <col min="6" max="6" style="2876" width="27.28125" customWidth="1"/>
    <col min="7" max="7" style="2876" width="16.7109375" customWidth="1"/>
    <col min="8" max="8" style="2876" width="12.7109375" customWidth="1"/>
    <col min="9" max="9" style="2876" width="32.140625" customWidth="1"/>
    <col min="10" max="11" style="2876" width="41.8515625" customWidth="1"/>
    <col min="12" max="12" style="2876" width="89.57421875" customWidth="1"/>
    <col min="13" max="13" style="2640" width="3.7109375" customWidth="1"/>
    <col min="14" max="16" style="2640" width="9.140625"/>
    <col min="17" max="17" style="2606" width="25.7109375" customWidth="1"/>
    <col min="18" max="18" style="2640" width="14.421875" customWidth="1"/>
    <col min="19" max="22" style="2607" width="9.140625"/>
    <col min="23" max="256" style="2876" width="9.140625"/>
  </cols>
  <sheetData>
    <row customHeight="1" ht="14.25" hidden="1"/>
    <row s="2641" customFormat="1" customHeight="1" ht="22.5" hidden="1">
      <c r="A2" s="841"/>
      <c r="B2" s="1174">
        <v>1</v>
      </c>
      <c r="C2" s="1174"/>
      <c r="D2" s="811"/>
      <c r="E2" s="1520"/>
      <c r="F2" s="1575" t="str">
        <f>IF(ROIV_INFO_NAME="","",ROIV_INFO_NAME)</f>
        <v>МУП "Уссурийск-Водоканал"</v>
      </c>
      <c r="G2" s="1778" t="s">
        <v>18</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7" customFormat="1" customHeight="1" ht="5.25" hidden="1">
      <c r="A3" s="504"/>
      <c r="D3" s="502"/>
      <c r="F3" s="233" t="s">
        <v>83</v>
      </c>
      <c r="G3" s="1781" t="s">
        <v>84</v>
      </c>
      <c r="H3" s="502"/>
      <c r="I3" s="502"/>
      <c r="J3" s="502"/>
      <c r="K3" s="502"/>
      <c r="L3" s="213" t="s">
        <v>85</v>
      </c>
      <c r="M3" s="233" t="s">
        <v>83</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2"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2"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39"/>
      <c r="G5" s="1939"/>
      <c r="H5" s="1939"/>
      <c r="I5" s="1939"/>
      <c r="J5" s="1939"/>
      <c r="K5" s="1939"/>
      <c r="L5" s="596"/>
      <c r="M5" s="233"/>
      <c r="N5" s="508"/>
      <c r="O5" s="508"/>
      <c r="P5" s="508"/>
      <c r="Q5" s="212"/>
      <c r="R5" s="508"/>
      <c r="S5" s="211"/>
      <c r="T5" s="211"/>
      <c r="U5" s="211"/>
      <c r="V5" s="211"/>
    </row>
    <row s="2632"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2" customFormat="1" customHeight="1" ht="14.25">
      <c r="A7" s="1169"/>
      <c r="B7" s="1174"/>
      <c r="C7" s="1169"/>
      <c r="D7" s="1531"/>
      <c r="E7" s="1940" t="s">
        <v>293</v>
      </c>
      <c r="F7" s="1941"/>
      <c r="G7" s="1941"/>
      <c r="H7" s="1941"/>
      <c r="I7" s="1941"/>
      <c r="J7" s="1941"/>
      <c r="K7" s="1941"/>
      <c r="L7" s="2408" t="s">
        <v>294</v>
      </c>
      <c r="M7" s="508"/>
      <c r="N7" s="508"/>
      <c r="O7" s="508"/>
      <c r="P7" s="508"/>
      <c r="Q7" s="212"/>
      <c r="R7" s="508"/>
      <c r="S7" s="211"/>
      <c r="T7" s="211"/>
      <c r="U7" s="211"/>
      <c r="V7" s="211"/>
    </row>
    <row s="2632" customFormat="1" customHeight="1" ht="47.25">
      <c r="A8" s="1169"/>
      <c r="B8" s="1174"/>
      <c r="C8" s="1169"/>
      <c r="D8" s="1531"/>
      <c r="E8" s="2413" t="s">
        <v>88</v>
      </c>
      <c r="F8" s="2413" t="s">
        <v>2121</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12"/>
      <c r="M8" s="508"/>
      <c r="N8" s="508"/>
      <c r="O8" s="508"/>
      <c r="P8" s="508"/>
      <c r="Q8" s="212"/>
      <c r="R8" s="508"/>
      <c r="S8" s="211"/>
      <c r="T8" s="211"/>
      <c r="U8" s="211"/>
      <c r="V8" s="211"/>
    </row>
    <row s="2632" customFormat="1" customHeight="1" ht="56.25">
      <c r="A9" s="1169"/>
      <c r="B9" s="1174"/>
      <c r="C9" s="1169"/>
      <c r="D9" s="1531"/>
      <c r="E9" s="2414"/>
      <c r="F9" s="2414"/>
      <c r="G9" s="1573" t="s">
        <v>2143</v>
      </c>
      <c r="H9" s="1573" t="s">
        <v>2144</v>
      </c>
      <c r="I9" s="1573" t="s">
        <v>2145</v>
      </c>
      <c r="J9" s="2414"/>
      <c r="K9" s="2414"/>
      <c r="L9" s="2409"/>
      <c r="M9" s="508"/>
      <c r="N9" s="508"/>
      <c r="O9" s="508"/>
      <c r="P9" s="508"/>
      <c r="Q9" s="212"/>
      <c r="R9" s="508"/>
      <c r="S9" s="211"/>
      <c r="T9" s="211"/>
      <c r="U9" s="211"/>
      <c r="V9" s="211"/>
    </row>
    <row s="2641" customFormat="1" customHeight="1" ht="22.5">
      <c r="A10" s="1938"/>
      <c r="B10" s="1174">
        <v>1</v>
      </c>
      <c r="C10" s="1174"/>
      <c r="D10" s="810"/>
      <c r="E10" s="808">
        <v>1</v>
      </c>
      <c r="F10" s="1575" t="str">
        <f>IF(ROIV_INFO_NAME="","",ROIV_INFO_NAME)</f>
        <v>МУП "Уссурийск-Водоканал"</v>
      </c>
      <c r="G10" s="1778" t="s">
        <v>18</v>
      </c>
      <c r="H10" s="1570"/>
      <c r="I10" s="1570"/>
      <c r="J10" s="1178"/>
      <c r="K10" s="1178"/>
      <c r="L10" s="2410" t="s">
        <v>2146</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1" customFormat="1" customHeight="1" ht="15">
      <c r="A11" s="1938"/>
      <c r="B11" s="1174"/>
      <c r="C11" s="419"/>
      <c r="D11" s="811"/>
      <c r="E11" s="428"/>
      <c r="F11" s="423" t="s">
        <v>2147</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2"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2"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2"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4528F4-87BC-4861-F385-C21B66FB7935}" mc:Ignorable="x14ac xr xr2 xr3">
  <dimension ref="A1:IY16"/>
  <sheetViews>
    <sheetView topLeftCell="A1" showGridLines="0" zoomScale="90" workbookViewId="0">
      <selection activeCell="A1" sqref="A1"/>
    </sheetView>
  </sheetViews>
  <sheetFormatPr defaultColWidth="9.140625" customHeight="1" defaultRowHeight="14.25"/>
  <cols>
    <col min="1" max="1" style="2876" width="9.140625" hidden="1"/>
    <col min="2" max="2" style="3159" width="9.140625" hidden="1"/>
    <col min="3" max="3" style="2876" width="3.7109375" hidden="1" customWidth="1"/>
    <col min="4" max="4" style="3089" width="3.8515625" customWidth="1"/>
    <col min="5" max="5" style="2876" width="10.140625" customWidth="1"/>
    <col min="6" max="6" style="2876" width="6.28125" customWidth="1"/>
    <col min="7" max="7" style="2876" width="27.28125" customWidth="1"/>
    <col min="8" max="8" style="2876" width="29.28125" customWidth="1"/>
    <col min="9" max="9" style="2876" width="25.421875" customWidth="1"/>
    <col min="10" max="10" style="2876" width="5.57421875" customWidth="1"/>
    <col min="11" max="11" style="2876" width="6.57421875" customWidth="1"/>
    <col min="12" max="12" style="2876" width="41.8515625" customWidth="1"/>
    <col min="13" max="13" style="2876" width="42.421875" customWidth="1"/>
    <col min="14" max="14" style="2876" width="41.57421875" customWidth="1"/>
    <col min="15" max="15" style="2876" width="64.140625" customWidth="1"/>
    <col min="16" max="16" style="2640" width="3.7109375" customWidth="1"/>
    <col min="17" max="19" style="2640" width="9.140625"/>
    <col min="20" max="20" style="2606" width="25.7109375" customWidth="1"/>
    <col min="21" max="21" style="2640" width="14.421875" customWidth="1"/>
    <col min="22" max="25" style="2607" width="9.140625"/>
    <col min="26" max="259" style="2876" width="9.140625"/>
  </cols>
  <sheetData>
    <row customHeight="1" ht="14.25" hidden="1"/>
    <row s="2641" customFormat="1" customHeight="1" ht="22.5" hidden="1">
      <c r="A2" s="504"/>
      <c r="B2" s="1174">
        <v>1</v>
      </c>
      <c r="C2" s="1174"/>
      <c r="D2" s="811"/>
      <c r="E2" s="1966"/>
      <c r="F2" s="1966">
        <v>1</v>
      </c>
      <c r="G2" s="2299" t="str">
        <f>IF(region_name="","",region_name)</f>
        <v>Приморский край</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1" customFormat="1" customHeight="1" ht="22.5" hidden="1">
      <c r="A3" s="841"/>
      <c r="B3" s="1174"/>
      <c r="C3" s="1174"/>
      <c r="D3" s="811"/>
      <c r="E3" s="1966"/>
      <c r="F3" s="1966"/>
      <c r="G3" s="2299"/>
      <c r="H3" s="2425"/>
      <c r="I3" s="2096"/>
      <c r="J3" s="1580"/>
      <c r="K3" s="1536"/>
      <c r="L3" s="1536" t="s">
        <v>2148</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7" customFormat="1" customHeight="1" ht="5.25" hidden="1">
      <c r="A4" s="504"/>
      <c r="D4" s="502"/>
      <c r="G4" s="233" t="s">
        <v>83</v>
      </c>
      <c r="H4" s="502" t="s">
        <v>84</v>
      </c>
      <c r="I4" s="502"/>
      <c r="J4" s="1585"/>
      <c r="K4" s="1585"/>
      <c r="L4" s="1585"/>
      <c r="M4" s="1585"/>
      <c r="N4" s="1585"/>
      <c r="O4" s="1585"/>
      <c r="P4" s="233" t="s">
        <v>83</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2"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2" customFormat="1" customHeight="1" ht="25.5">
      <c r="A6" s="1169"/>
      <c r="B6" s="1174"/>
      <c r="C6" s="1169"/>
      <c r="D6" s="1531"/>
      <c r="E6" s="1939" t="s">
        <v>2149</v>
      </c>
      <c r="F6" s="1939"/>
      <c r="G6" s="1939"/>
      <c r="H6" s="1939"/>
      <c r="I6" s="1939"/>
      <c r="J6" s="1939"/>
      <c r="K6" s="1939"/>
      <c r="L6" s="1939"/>
      <c r="M6" s="1939"/>
      <c r="N6" s="1939"/>
      <c r="O6" s="1939"/>
      <c r="P6" s="233"/>
      <c r="Q6" s="508"/>
      <c r="R6" s="508"/>
      <c r="S6" s="508"/>
      <c r="T6" s="212"/>
      <c r="U6" s="508"/>
      <c r="V6" s="211"/>
      <c r="W6" s="211"/>
      <c r="X6" s="211"/>
      <c r="Y6" s="211"/>
    </row>
    <row s="2632"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5089" customFormat="1" customHeight="1" ht="42.75">
      <c r="A8" s="1504"/>
      <c r="B8" s="1514"/>
      <c r="C8" s="1504"/>
      <c r="D8" s="1531"/>
      <c r="E8" s="1594" t="s">
        <v>294</v>
      </c>
      <c r="F8" s="1594"/>
      <c r="G8" s="1595" t="s">
        <v>298</v>
      </c>
      <c r="H8" s="1595" t="s">
        <v>2150</v>
      </c>
      <c r="I8" s="1595" t="s">
        <v>302</v>
      </c>
      <c r="J8" s="2421"/>
      <c r="K8" s="2422"/>
      <c r="L8" s="2423"/>
      <c r="M8" s="1595" t="s">
        <v>2151</v>
      </c>
      <c r="N8" s="1595" t="s">
        <v>2152</v>
      </c>
      <c r="O8" s="1595" t="s">
        <v>2153</v>
      </c>
      <c r="P8" s="1586"/>
      <c r="Q8" s="1586"/>
      <c r="R8" s="1586"/>
      <c r="S8" s="1586"/>
      <c r="T8" s="1587"/>
      <c r="U8" s="1586"/>
      <c r="V8" s="1588"/>
      <c r="W8" s="1588"/>
      <c r="X8" s="1588"/>
      <c r="Y8" s="1588"/>
    </row>
    <row s="2632" customFormat="1" customHeight="1" ht="47.25">
      <c r="A9" s="1169"/>
      <c r="B9" s="1174"/>
      <c r="C9" s="1169"/>
      <c r="D9" s="1531"/>
      <c r="E9" s="2071" t="s">
        <v>293</v>
      </c>
      <c r="F9" s="2414" t="s">
        <v>88</v>
      </c>
      <c r="G9" s="2414" t="s">
        <v>297</v>
      </c>
      <c r="H9" s="2414" t="s">
        <v>2154</v>
      </c>
      <c r="I9" s="2414"/>
      <c r="J9" s="2414" t="s">
        <v>2155</v>
      </c>
      <c r="K9" s="2414"/>
      <c r="L9" s="2414"/>
      <c r="M9" s="2414" t="s">
        <v>2156</v>
      </c>
      <c r="N9" s="2414" t="s">
        <v>2157</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8"/>
      <c r="Q9" s="508"/>
      <c r="R9" s="508"/>
      <c r="S9" s="508"/>
      <c r="T9" s="212"/>
      <c r="U9" s="508"/>
      <c r="V9" s="211"/>
      <c r="W9" s="211"/>
      <c r="X9" s="211"/>
      <c r="Y9" s="211"/>
    </row>
    <row s="2632" customFormat="1" customHeight="1" ht="63.75">
      <c r="A10" s="1169"/>
      <c r="B10" s="1174"/>
      <c r="C10" s="1169"/>
      <c r="D10" s="1531"/>
      <c r="E10" s="1966"/>
      <c r="F10" s="2420"/>
      <c r="G10" s="2420"/>
      <c r="H10" s="158" t="s">
        <v>2158</v>
      </c>
      <c r="I10" s="158" t="s">
        <v>301</v>
      </c>
      <c r="J10" s="2413"/>
      <c r="K10" s="2413"/>
      <c r="L10" s="2420"/>
      <c r="M10" s="2420"/>
      <c r="N10" s="2420"/>
      <c r="O10" s="2420"/>
      <c r="P10" s="508"/>
      <c r="Q10" s="508"/>
      <c r="R10" s="508"/>
      <c r="S10" s="508"/>
      <c r="T10" s="212"/>
      <c r="U10" s="508"/>
      <c r="V10" s="211"/>
      <c r="W10" s="211"/>
      <c r="X10" s="211"/>
      <c r="Y10" s="211"/>
    </row>
    <row s="2641" customFormat="1" customHeight="1" ht="22.5">
      <c r="A11" s="1938">
        <v>26379339</v>
      </c>
      <c r="B11" s="1174">
        <v>1</v>
      </c>
      <c r="C11" s="1174"/>
      <c r="D11" s="811"/>
      <c r="E11" s="2071"/>
      <c r="F11" s="2071">
        <v>1</v>
      </c>
      <c r="G11" s="2418" t="str">
        <f>IF(region_name="","",region_name)</f>
        <v>Приморский край</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1" customFormat="1" customHeight="1" ht="22.5">
      <c r="A12" s="1938"/>
      <c r="B12" s="1174"/>
      <c r="C12" s="1174"/>
      <c r="D12" s="811"/>
      <c r="E12" s="2071"/>
      <c r="F12" s="2071"/>
      <c r="G12" s="2418"/>
      <c r="H12" s="2419"/>
      <c r="I12" s="2107"/>
      <c r="J12" s="1580"/>
      <c r="K12" s="1536"/>
      <c r="L12" s="1536" t="s">
        <v>2148</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1" customFormat="1" customHeight="1" ht="22.5">
      <c r="A13" s="1938"/>
      <c r="B13" s="1174"/>
      <c r="C13" s="419"/>
      <c r="D13" s="811"/>
      <c r="E13" s="1577"/>
      <c r="F13" s="1580"/>
      <c r="G13" s="1536" t="s">
        <v>2142</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2"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2"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2"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886169-2D34-095B-94E2-E5E81AA03C3C}"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3152" width="9.140625" hidden="1"/>
    <col min="3" max="3" style="5032" width="3.7109375" customWidth="1"/>
    <col min="4" max="4" style="3152" width="6.28125" customWidth="1"/>
    <col min="5" max="5" style="3152" width="94.8515625" customWidth="1"/>
    <col min="6" max="12" style="3152"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2159</v>
      </c>
      <c r="E7" s="1939"/>
      <c r="F7" s="253"/>
    </row>
    <row customHeight="1" ht="3">
      <c r="C8" s="77"/>
      <c r="D8" s="55"/>
      <c r="E8" s="55"/>
    </row>
    <row customHeight="1" ht="15.75">
      <c r="C9" s="77"/>
      <c r="D9" s="91" t="s">
        <v>88</v>
      </c>
      <c r="E9" s="94" t="s">
        <v>280</v>
      </c>
    </row>
    <row customHeight="1" ht="12">
      <c r="C10" s="77"/>
      <c r="D10" s="72" t="s">
        <v>109</v>
      </c>
      <c r="E10" s="72" t="s">
        <v>110</v>
      </c>
    </row>
    <row customHeight="1" ht="15" hidden="1">
      <c r="C11" s="77"/>
      <c r="D11" s="99">
        <v>0</v>
      </c>
      <c r="E11" s="135"/>
    </row>
    <row customHeight="1" ht="14.25">
      <c r="C12" s="77"/>
      <c r="D12" s="95"/>
      <c r="E12" s="93" t="s">
        <v>2119</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BB108-1583-4135-E923-D083E7CF04F9}"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175" width="1.7109375" customWidth="1"/>
    <col min="2" max="2" style="3175" width="34.57421875" customWidth="1"/>
    <col min="3" max="3" style="3175" width="85.57421875" customWidth="1"/>
    <col min="4" max="4" style="3175" width="17.7109375" customWidth="1"/>
    <col min="5" max="5" style="3175" width="9.140625"/>
  </cols>
  <sheetData>
    <row customHeight="1" ht="3"/>
    <row customHeight="1" ht="22.5">
      <c r="B2" s="2427" t="s">
        <v>2160</v>
      </c>
      <c r="C2" s="2427"/>
      <c r="D2" s="2427"/>
      <c r="E2" s="254"/>
    </row>
    <row customHeight="1" ht="3"/>
    <row customHeight="1" ht="21.75">
      <c r="B4" s="389" t="s">
        <v>2161</v>
      </c>
      <c r="C4" s="389" t="s">
        <v>2162</v>
      </c>
      <c r="D4" s="389" t="s">
        <v>2163</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5B388-70A9-E32D-36B4-DE5CB9B0C1D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E6D337-6BB3-47F5-B6D4-FBEECEB3DB3F}"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2164</v>
      </c>
      <c r="B1" s="774" t="s">
        <v>2165</v>
      </c>
      <c r="C1" s="2428" t="s">
        <v>2166</v>
      </c>
      <c r="D1" s="2429"/>
      <c r="E1" s="846" t="s">
        <v>2167</v>
      </c>
    </row>
    <row customHeight="1" ht="11.25">
      <c r="A2" s="767"/>
      <c r="B2" s="775" t="s">
        <v>23</v>
      </c>
      <c r="C2" s="763"/>
      <c r="D2" s="774"/>
      <c r="E2" s="846"/>
    </row>
    <row customHeight="1" ht="11.25">
      <c r="A3" s="778"/>
      <c r="B3" s="776" t="s">
        <v>29</v>
      </c>
      <c r="C3" s="763"/>
      <c r="D3" s="774"/>
      <c r="E3" s="846"/>
    </row>
    <row customHeight="1" ht="11.25">
      <c r="A4" s="779"/>
      <c r="B4" s="776" t="s">
        <v>1066</v>
      </c>
      <c r="C4" s="763"/>
      <c r="D4" s="774"/>
      <c r="E4" s="846"/>
    </row>
    <row customHeight="1" ht="11.25">
      <c r="A5" s="791"/>
      <c r="B5" s="776" t="s">
        <v>1060</v>
      </c>
      <c r="C5" s="766" t="s">
        <v>1314</v>
      </c>
      <c r="D5" s="890" t="s">
        <v>2168</v>
      </c>
      <c r="E5" s="846"/>
    </row>
    <row s="4017" customFormat="1" customHeight="1" ht="11.25">
      <c r="A6" s="777"/>
      <c r="B6" s="776" t="s">
        <v>1072</v>
      </c>
      <c r="C6" s="763"/>
      <c r="D6" s="774"/>
      <c r="E6" s="846"/>
    </row>
    <row customHeight="1" ht="11.25">
      <c r="A7" s="765"/>
      <c r="B7" s="776" t="s">
        <v>1082</v>
      </c>
      <c r="C7" s="763"/>
      <c r="D7" s="774"/>
      <c r="E7" s="846"/>
    </row>
    <row customHeight="1" ht="11.25">
      <c r="A8" s="766"/>
      <c r="B8" s="776" t="s">
        <v>1077</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8D0AE-1265-F9FD-4FC5-BB48279682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D2EB1F-4B91-A852-A075-A53E416C53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B67C15-2733-7DE8-20FE-A6CD480FB8BC}"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5129" width="9.140625"/>
    <col min="3" max="3" style="5129" width="20.7109375" customWidth="1"/>
    <col min="4" max="4" style="5129" width="25.140625" customWidth="1"/>
    <col min="5" max="9" style="5129" width="9.140625"/>
  </cols>
  <sheetData>
    <row customHeight="1" ht="11.25">
      <c r="A1" s="53" t="s">
        <v>2169</v>
      </c>
      <c r="B1" s="53" t="s">
        <v>2170</v>
      </c>
      <c r="C1" s="53" t="s">
        <v>2171</v>
      </c>
      <c r="D1" s="53" t="s">
        <v>2172</v>
      </c>
      <c r="E1" s="53" t="s">
        <v>2173</v>
      </c>
      <c r="F1" s="53" t="s">
        <v>2174</v>
      </c>
      <c r="G1" s="53" t="s">
        <v>2175</v>
      </c>
      <c r="H1" s="53" t="s">
        <v>2176</v>
      </c>
      <c r="I1" s="53" t="s">
        <v>2177</v>
      </c>
    </row>
    <row customHeight="1" ht="11.25">
      <c r="A2" s="4795" t="s">
        <v>2178</v>
      </c>
      <c r="B2" s="4795" t="s">
        <v>14</v>
      </c>
      <c r="C2" s="4795" t="s">
        <v>18</v>
      </c>
      <c r="D2" s="4795" t="s">
        <v>2179</v>
      </c>
      <c r="E2" s="4795" t="s">
        <v>2180</v>
      </c>
      <c r="F2" s="4795" t="s">
        <v>2181</v>
      </c>
      <c r="G2" s="4795" t="s">
        <v>18</v>
      </c>
      <c r="H2" s="4795" t="s">
        <v>18</v>
      </c>
      <c r="I2" s="4795" t="s">
        <v>597</v>
      </c>
    </row>
    <row customHeight="1" ht="11.25">
      <c r="A3" s="4795" t="s">
        <v>2178</v>
      </c>
      <c r="B3" s="4795" t="s">
        <v>14</v>
      </c>
      <c r="C3" s="4795" t="s">
        <v>2182</v>
      </c>
      <c r="D3" s="4795" t="s">
        <v>2183</v>
      </c>
      <c r="E3" s="4795" t="s">
        <v>2184</v>
      </c>
      <c r="F3" s="4795" t="s">
        <v>2185</v>
      </c>
      <c r="G3" s="4795" t="s">
        <v>18</v>
      </c>
      <c r="H3" s="4795" t="s">
        <v>18</v>
      </c>
      <c r="I3" s="4795" t="s">
        <v>597</v>
      </c>
    </row>
    <row customHeight="1" ht="11.25">
      <c r="A4" s="4795" t="s">
        <v>2178</v>
      </c>
      <c r="B4" s="4795" t="s">
        <v>14</v>
      </c>
      <c r="C4" s="4795" t="s">
        <v>2186</v>
      </c>
      <c r="D4" s="4795" t="s">
        <v>2187</v>
      </c>
      <c r="E4" s="4795" t="s">
        <v>2188</v>
      </c>
      <c r="F4" s="4795" t="s">
        <v>2189</v>
      </c>
      <c r="G4" s="4795" t="s">
        <v>18</v>
      </c>
      <c r="H4" s="4795" t="s">
        <v>18</v>
      </c>
      <c r="I4" s="4795" t="s">
        <v>597</v>
      </c>
    </row>
    <row customHeight="1" ht="11.25">
      <c r="A5" s="4795" t="s">
        <v>2178</v>
      </c>
      <c r="B5" s="4795" t="s">
        <v>14</v>
      </c>
      <c r="C5" s="4795" t="s">
        <v>2190</v>
      </c>
      <c r="D5" s="4795" t="s">
        <v>2191</v>
      </c>
      <c r="E5" s="4795" t="s">
        <v>2192</v>
      </c>
      <c r="F5" s="4795" t="s">
        <v>2193</v>
      </c>
      <c r="G5" s="4795" t="s">
        <v>18</v>
      </c>
      <c r="H5" s="4795" t="s">
        <v>18</v>
      </c>
      <c r="I5" s="4795" t="s">
        <v>597</v>
      </c>
    </row>
    <row customHeight="1" ht="11.25">
      <c r="A6" s="4795" t="s">
        <v>2178</v>
      </c>
      <c r="B6" s="4795" t="s">
        <v>14</v>
      </c>
      <c r="C6" s="4795" t="s">
        <v>2194</v>
      </c>
      <c r="D6" s="4795" t="s">
        <v>2195</v>
      </c>
      <c r="E6" s="4795" t="s">
        <v>2196</v>
      </c>
      <c r="F6" s="4795" t="s">
        <v>2197</v>
      </c>
      <c r="G6" s="4795" t="s">
        <v>18</v>
      </c>
      <c r="H6" s="4795" t="s">
        <v>18</v>
      </c>
      <c r="I6" s="4795" t="s">
        <v>597</v>
      </c>
    </row>
    <row customHeight="1" ht="11.25">
      <c r="A7" s="4795" t="s">
        <v>2178</v>
      </c>
      <c r="B7" s="4795" t="s">
        <v>14</v>
      </c>
      <c r="C7" s="4795" t="s">
        <v>2198</v>
      </c>
      <c r="D7" s="4795" t="s">
        <v>2195</v>
      </c>
      <c r="E7" s="4795" t="s">
        <v>2196</v>
      </c>
      <c r="F7" s="4795" t="s">
        <v>2199</v>
      </c>
      <c r="G7" s="4795" t="s">
        <v>2200</v>
      </c>
      <c r="H7" s="4795" t="s">
        <v>18</v>
      </c>
      <c r="I7" s="4795" t="s">
        <v>597</v>
      </c>
    </row>
    <row customHeight="1" ht="11.25">
      <c r="A8" s="4795" t="s">
        <v>2178</v>
      </c>
      <c r="B8" s="4795" t="s">
        <v>14</v>
      </c>
      <c r="C8" s="4795" t="s">
        <v>2201</v>
      </c>
      <c r="D8" s="4795" t="s">
        <v>2202</v>
      </c>
      <c r="E8" s="4795" t="s">
        <v>2196</v>
      </c>
      <c r="F8" s="4795" t="s">
        <v>2203</v>
      </c>
      <c r="G8" s="4795" t="s">
        <v>18</v>
      </c>
      <c r="H8" s="4795" t="s">
        <v>18</v>
      </c>
      <c r="I8" s="4795" t="s">
        <v>597</v>
      </c>
    </row>
    <row customHeight="1" ht="11.25">
      <c r="A9" s="4795" t="s">
        <v>2178</v>
      </c>
      <c r="B9" s="4795" t="s">
        <v>14</v>
      </c>
      <c r="C9" s="4795" t="s">
        <v>2204</v>
      </c>
      <c r="D9" s="4795" t="s">
        <v>2205</v>
      </c>
      <c r="E9" s="4795" t="s">
        <v>2196</v>
      </c>
      <c r="F9" s="4795" t="s">
        <v>2206</v>
      </c>
      <c r="G9" s="4795" t="s">
        <v>18</v>
      </c>
      <c r="H9" s="4795" t="s">
        <v>18</v>
      </c>
      <c r="I9" s="4795" t="s">
        <v>597</v>
      </c>
    </row>
    <row customHeight="1" ht="11.25">
      <c r="A10" s="4795" t="s">
        <v>2178</v>
      </c>
      <c r="B10" s="4795" t="s">
        <v>14</v>
      </c>
      <c r="C10" s="4795" t="s">
        <v>2207</v>
      </c>
      <c r="D10" s="4795" t="s">
        <v>2208</v>
      </c>
      <c r="E10" s="4795" t="s">
        <v>2209</v>
      </c>
      <c r="F10" s="4795" t="s">
        <v>2210</v>
      </c>
      <c r="G10" s="4795" t="s">
        <v>18</v>
      </c>
      <c r="H10" s="4795" t="s">
        <v>18</v>
      </c>
      <c r="I10" s="4795" t="s">
        <v>597</v>
      </c>
    </row>
    <row customHeight="1" ht="11.25">
      <c r="A11" s="4795" t="s">
        <v>2178</v>
      </c>
      <c r="B11" s="4795" t="s">
        <v>14</v>
      </c>
      <c r="C11" s="4795" t="s">
        <v>2211</v>
      </c>
      <c r="D11" s="4795" t="s">
        <v>2212</v>
      </c>
      <c r="E11" s="4795" t="s">
        <v>2213</v>
      </c>
      <c r="F11" s="4795" t="s">
        <v>2214</v>
      </c>
      <c r="G11" s="4795" t="s">
        <v>18</v>
      </c>
      <c r="H11" s="4795" t="s">
        <v>18</v>
      </c>
      <c r="I11" s="4795" t="s">
        <v>597</v>
      </c>
    </row>
    <row customHeight="1" ht="11.25">
      <c r="A12" s="4795" t="s">
        <v>2178</v>
      </c>
      <c r="B12" s="4795" t="s">
        <v>14</v>
      </c>
      <c r="C12" s="4795" t="s">
        <v>2215</v>
      </c>
      <c r="D12" s="4795" t="s">
        <v>2216</v>
      </c>
      <c r="E12" s="4795" t="s">
        <v>2217</v>
      </c>
      <c r="F12" s="4795" t="s">
        <v>51</v>
      </c>
      <c r="G12" s="4795" t="s">
        <v>18</v>
      </c>
      <c r="H12" s="4795" t="s">
        <v>18</v>
      </c>
      <c r="I12" s="4795" t="s">
        <v>597</v>
      </c>
    </row>
    <row customHeight="1" ht="11.25">
      <c r="A13" s="4795" t="s">
        <v>2178</v>
      </c>
      <c r="B13" s="4795" t="s">
        <v>14</v>
      </c>
      <c r="C13" s="4795" t="s">
        <v>2218</v>
      </c>
      <c r="D13" s="4795" t="s">
        <v>2219</v>
      </c>
      <c r="E13" s="4795" t="s">
        <v>2220</v>
      </c>
      <c r="F13" s="4795" t="s">
        <v>2221</v>
      </c>
      <c r="G13" s="4795" t="s">
        <v>2222</v>
      </c>
      <c r="H13" s="4795" t="s">
        <v>18</v>
      </c>
      <c r="I13" s="4795" t="s">
        <v>597</v>
      </c>
    </row>
    <row customHeight="1" ht="11.25">
      <c r="A14" s="4795" t="s">
        <v>2178</v>
      </c>
      <c r="B14" s="4795" t="s">
        <v>14</v>
      </c>
      <c r="C14" s="4795" t="s">
        <v>2223</v>
      </c>
      <c r="D14" s="4795" t="s">
        <v>2224</v>
      </c>
      <c r="E14" s="4795" t="s">
        <v>2225</v>
      </c>
      <c r="F14" s="4795" t="s">
        <v>2189</v>
      </c>
      <c r="G14" s="4795" t="s">
        <v>18</v>
      </c>
      <c r="H14" s="4795" t="s">
        <v>18</v>
      </c>
      <c r="I14" s="4795" t="s">
        <v>597</v>
      </c>
    </row>
    <row customHeight="1" ht="11.25">
      <c r="A15" s="4795" t="s">
        <v>2178</v>
      </c>
      <c r="B15" s="4795" t="s">
        <v>14</v>
      </c>
      <c r="C15" s="4795" t="s">
        <v>2226</v>
      </c>
      <c r="D15" s="4795" t="s">
        <v>2227</v>
      </c>
      <c r="E15" s="4795" t="s">
        <v>2228</v>
      </c>
      <c r="F15" s="4795" t="s">
        <v>2229</v>
      </c>
      <c r="G15" s="4795" t="s">
        <v>18</v>
      </c>
      <c r="H15" s="4795" t="s">
        <v>18</v>
      </c>
      <c r="I15" s="4795" t="s">
        <v>597</v>
      </c>
    </row>
    <row customHeight="1" ht="11.25">
      <c r="A16" s="4795" t="s">
        <v>2178</v>
      </c>
      <c r="B16" s="4795" t="s">
        <v>14</v>
      </c>
      <c r="C16" s="4795" t="s">
        <v>2230</v>
      </c>
      <c r="D16" s="4795" t="s">
        <v>2231</v>
      </c>
      <c r="E16" s="4795" t="s">
        <v>2232</v>
      </c>
      <c r="F16" s="4795" t="s">
        <v>2233</v>
      </c>
      <c r="G16" s="4795" t="s">
        <v>2234</v>
      </c>
      <c r="H16" s="4795" t="s">
        <v>18</v>
      </c>
      <c r="I16" s="4795" t="s">
        <v>597</v>
      </c>
    </row>
    <row customHeight="1" ht="11.25">
      <c r="A17" s="4795" t="s">
        <v>2178</v>
      </c>
      <c r="B17" s="4795" t="s">
        <v>14</v>
      </c>
      <c r="C17" s="4795" t="s">
        <v>2235</v>
      </c>
      <c r="D17" s="4795" t="s">
        <v>2236</v>
      </c>
      <c r="E17" s="4795" t="s">
        <v>2237</v>
      </c>
      <c r="F17" s="4795" t="s">
        <v>2238</v>
      </c>
      <c r="G17" s="4795" t="s">
        <v>2239</v>
      </c>
      <c r="H17" s="4795" t="s">
        <v>18</v>
      </c>
      <c r="I17" s="4795" t="s">
        <v>597</v>
      </c>
    </row>
    <row customHeight="1" ht="11.25">
      <c r="A18" s="4795" t="s">
        <v>2178</v>
      </c>
      <c r="B18" s="4795" t="s">
        <v>14</v>
      </c>
      <c r="C18" s="4795" t="s">
        <v>2240</v>
      </c>
      <c r="D18" s="4795" t="s">
        <v>2241</v>
      </c>
      <c r="E18" s="4795" t="s">
        <v>2242</v>
      </c>
      <c r="F18" s="4795" t="s">
        <v>2210</v>
      </c>
      <c r="G18" s="4795" t="s">
        <v>18</v>
      </c>
      <c r="H18" s="4795" t="s">
        <v>18</v>
      </c>
      <c r="I18" s="4795" t="s">
        <v>597</v>
      </c>
    </row>
    <row customHeight="1" ht="11.25">
      <c r="A19" s="4795" t="s">
        <v>2178</v>
      </c>
      <c r="B19" s="4795" t="s">
        <v>14</v>
      </c>
      <c r="C19" s="4795" t="s">
        <v>2243</v>
      </c>
      <c r="D19" s="4795" t="s">
        <v>2244</v>
      </c>
      <c r="E19" s="4795" t="s">
        <v>2245</v>
      </c>
      <c r="F19" s="4795" t="s">
        <v>2246</v>
      </c>
      <c r="G19" s="4795" t="s">
        <v>18</v>
      </c>
      <c r="H19" s="4795" t="s">
        <v>18</v>
      </c>
      <c r="I19" s="4795" t="s">
        <v>597</v>
      </c>
    </row>
    <row customHeight="1" ht="11.25">
      <c r="A20" s="4795" t="s">
        <v>2178</v>
      </c>
      <c r="B20" s="4795" t="s">
        <v>14</v>
      </c>
      <c r="C20" s="4795" t="s">
        <v>2247</v>
      </c>
      <c r="D20" s="4795" t="s">
        <v>2248</v>
      </c>
      <c r="E20" s="4795" t="s">
        <v>2249</v>
      </c>
      <c r="F20" s="4795" t="s">
        <v>51</v>
      </c>
      <c r="G20" s="4795" t="s">
        <v>2250</v>
      </c>
      <c r="H20" s="4795" t="s">
        <v>18</v>
      </c>
      <c r="I20" s="4795" t="s">
        <v>597</v>
      </c>
    </row>
    <row customHeight="1" ht="11.25">
      <c r="A21" s="4795" t="s">
        <v>2178</v>
      </c>
      <c r="B21" s="4795" t="s">
        <v>14</v>
      </c>
      <c r="C21" s="4795" t="s">
        <v>2251</v>
      </c>
      <c r="D21" s="4795" t="s">
        <v>2252</v>
      </c>
      <c r="E21" s="4795" t="s">
        <v>2253</v>
      </c>
      <c r="F21" s="4795" t="s">
        <v>2254</v>
      </c>
      <c r="G21" s="4795" t="s">
        <v>18</v>
      </c>
      <c r="H21" s="4795" t="s">
        <v>18</v>
      </c>
      <c r="I21" s="4795" t="s">
        <v>597</v>
      </c>
    </row>
    <row customHeight="1" ht="11.25">
      <c r="A22" s="4795" t="s">
        <v>2178</v>
      </c>
      <c r="B22" s="4795" t="s">
        <v>14</v>
      </c>
      <c r="C22" s="4795" t="s">
        <v>2255</v>
      </c>
      <c r="D22" s="4795" t="s">
        <v>2256</v>
      </c>
      <c r="E22" s="4795" t="s">
        <v>2257</v>
      </c>
      <c r="F22" s="4795" t="s">
        <v>2181</v>
      </c>
      <c r="G22" s="4795" t="s">
        <v>2258</v>
      </c>
      <c r="H22" s="4795" t="s">
        <v>18</v>
      </c>
      <c r="I22" s="4795" t="s">
        <v>597</v>
      </c>
    </row>
    <row customHeight="1" ht="11.25">
      <c r="A23" s="4795" t="s">
        <v>2178</v>
      </c>
      <c r="B23" s="4795" t="s">
        <v>14</v>
      </c>
      <c r="C23" s="4795" t="s">
        <v>2259</v>
      </c>
      <c r="D23" s="4795" t="s">
        <v>2260</v>
      </c>
      <c r="E23" s="4795" t="s">
        <v>2261</v>
      </c>
      <c r="F23" s="4795" t="s">
        <v>2262</v>
      </c>
      <c r="G23" s="4795" t="s">
        <v>18</v>
      </c>
      <c r="H23" s="4795" t="s">
        <v>18</v>
      </c>
      <c r="I23" s="4795" t="s">
        <v>597</v>
      </c>
    </row>
    <row customHeight="1" ht="11.25">
      <c r="A24" s="4795" t="s">
        <v>2178</v>
      </c>
      <c r="B24" s="4795" t="s">
        <v>14</v>
      </c>
      <c r="C24" s="4795" t="s">
        <v>2263</v>
      </c>
      <c r="D24" s="4795" t="s">
        <v>2264</v>
      </c>
      <c r="E24" s="4795" t="s">
        <v>2265</v>
      </c>
      <c r="F24" s="4795" t="s">
        <v>51</v>
      </c>
      <c r="G24" s="4795" t="s">
        <v>18</v>
      </c>
      <c r="H24" s="4795" t="s">
        <v>18</v>
      </c>
      <c r="I24" s="4795" t="s">
        <v>597</v>
      </c>
    </row>
    <row customHeight="1" ht="11.25">
      <c r="A25" s="4795" t="s">
        <v>2178</v>
      </c>
      <c r="B25" s="4795" t="s">
        <v>14</v>
      </c>
      <c r="C25" s="4795" t="s">
        <v>2266</v>
      </c>
      <c r="D25" s="4795" t="s">
        <v>2267</v>
      </c>
      <c r="E25" s="4795" t="s">
        <v>2268</v>
      </c>
      <c r="F25" s="4795" t="s">
        <v>2181</v>
      </c>
      <c r="G25" s="4795" t="s">
        <v>18</v>
      </c>
      <c r="H25" s="4795" t="s">
        <v>18</v>
      </c>
      <c r="I25" s="4795" t="s">
        <v>597</v>
      </c>
    </row>
    <row customHeight="1" ht="11.25">
      <c r="A26" s="4795" t="s">
        <v>2178</v>
      </c>
      <c r="B26" s="4795" t="s">
        <v>14</v>
      </c>
      <c r="C26" s="4795" t="s">
        <v>2269</v>
      </c>
      <c r="D26" s="4795" t="s">
        <v>2270</v>
      </c>
      <c r="E26" s="4795" t="s">
        <v>2271</v>
      </c>
      <c r="F26" s="4795" t="s">
        <v>2272</v>
      </c>
      <c r="G26" s="4795" t="s">
        <v>18</v>
      </c>
      <c r="H26" s="4795" t="s">
        <v>18</v>
      </c>
      <c r="I26" s="4795" t="s">
        <v>597</v>
      </c>
    </row>
    <row customHeight="1" ht="11.25">
      <c r="A27" s="4795" t="s">
        <v>2178</v>
      </c>
      <c r="B27" s="4795" t="s">
        <v>14</v>
      </c>
      <c r="C27" s="4795" t="s">
        <v>2273</v>
      </c>
      <c r="D27" s="4795" t="s">
        <v>2274</v>
      </c>
      <c r="E27" s="4795" t="s">
        <v>2275</v>
      </c>
      <c r="F27" s="4795" t="s">
        <v>2276</v>
      </c>
      <c r="G27" s="4795" t="s">
        <v>18</v>
      </c>
      <c r="H27" s="4795" t="s">
        <v>18</v>
      </c>
      <c r="I27" s="4795" t="s">
        <v>597</v>
      </c>
    </row>
    <row customHeight="1" ht="11.25">
      <c r="A28" s="4795" t="s">
        <v>2178</v>
      </c>
      <c r="B28" s="4795" t="s">
        <v>14</v>
      </c>
      <c r="C28" s="4795" t="s">
        <v>2277</v>
      </c>
      <c r="D28" s="4795" t="s">
        <v>2278</v>
      </c>
      <c r="E28" s="4795" t="s">
        <v>2275</v>
      </c>
      <c r="F28" s="4795" t="s">
        <v>2279</v>
      </c>
      <c r="G28" s="4795" t="s">
        <v>18</v>
      </c>
      <c r="H28" s="4795" t="s">
        <v>18</v>
      </c>
      <c r="I28" s="4795" t="s">
        <v>597</v>
      </c>
    </row>
    <row customHeight="1" ht="11.25">
      <c r="A29" s="4795" t="s">
        <v>2178</v>
      </c>
      <c r="B29" s="4795" t="s">
        <v>14</v>
      </c>
      <c r="C29" s="4795" t="s">
        <v>2280</v>
      </c>
      <c r="D29" s="4795" t="s">
        <v>2281</v>
      </c>
      <c r="E29" s="4795" t="s">
        <v>2282</v>
      </c>
      <c r="F29" s="4795" t="s">
        <v>2283</v>
      </c>
      <c r="G29" s="4795" t="s">
        <v>18</v>
      </c>
      <c r="H29" s="4795" t="s">
        <v>18</v>
      </c>
      <c r="I29" s="4795" t="s">
        <v>597</v>
      </c>
    </row>
    <row customHeight="1" ht="11.25">
      <c r="A30" s="4795" t="s">
        <v>2178</v>
      </c>
      <c r="B30" s="4795" t="s">
        <v>14</v>
      </c>
      <c r="C30" s="4795" t="s">
        <v>2284</v>
      </c>
      <c r="D30" s="4795" t="s">
        <v>2285</v>
      </c>
      <c r="E30" s="4795" t="s">
        <v>2286</v>
      </c>
      <c r="F30" s="4795" t="s">
        <v>2246</v>
      </c>
      <c r="G30" s="4795" t="s">
        <v>2287</v>
      </c>
      <c r="H30" s="4795" t="s">
        <v>18</v>
      </c>
      <c r="I30" s="4795" t="s">
        <v>597</v>
      </c>
    </row>
    <row customHeight="1" ht="11.25">
      <c r="A31" s="4795" t="s">
        <v>2178</v>
      </c>
      <c r="B31" s="4795" t="s">
        <v>14</v>
      </c>
      <c r="C31" s="4795" t="s">
        <v>2288</v>
      </c>
      <c r="D31" s="4795" t="s">
        <v>2289</v>
      </c>
      <c r="E31" s="4795" t="s">
        <v>2290</v>
      </c>
      <c r="F31" s="4795" t="s">
        <v>2229</v>
      </c>
      <c r="G31" s="4795" t="s">
        <v>18</v>
      </c>
      <c r="H31" s="4795" t="s">
        <v>18</v>
      </c>
      <c r="I31" s="4795" t="s">
        <v>597</v>
      </c>
    </row>
    <row customHeight="1" ht="11.25">
      <c r="A32" s="4795" t="s">
        <v>2178</v>
      </c>
      <c r="B32" s="4795" t="s">
        <v>14</v>
      </c>
      <c r="C32" s="4795" t="s">
        <v>2291</v>
      </c>
      <c r="D32" s="4795" t="s">
        <v>2292</v>
      </c>
      <c r="E32" s="4795" t="s">
        <v>2293</v>
      </c>
      <c r="F32" s="4795" t="s">
        <v>51</v>
      </c>
      <c r="G32" s="4795" t="s">
        <v>18</v>
      </c>
      <c r="H32" s="4795" t="s">
        <v>18</v>
      </c>
      <c r="I32" s="4795" t="s">
        <v>597</v>
      </c>
    </row>
    <row customHeight="1" ht="11.25">
      <c r="A33" s="4795" t="s">
        <v>2178</v>
      </c>
      <c r="B33" s="4795" t="s">
        <v>14</v>
      </c>
      <c r="C33" s="4795" t="s">
        <v>2294</v>
      </c>
      <c r="D33" s="4795" t="s">
        <v>2295</v>
      </c>
      <c r="E33" s="4795" t="s">
        <v>2296</v>
      </c>
      <c r="F33" s="4795" t="s">
        <v>423</v>
      </c>
      <c r="G33" s="4795" t="s">
        <v>2297</v>
      </c>
      <c r="H33" s="4795" t="s">
        <v>18</v>
      </c>
      <c r="I33" s="4795" t="s">
        <v>597</v>
      </c>
    </row>
    <row customHeight="1" ht="11.25">
      <c r="A34" s="4795" t="s">
        <v>2178</v>
      </c>
      <c r="B34" s="4795" t="s">
        <v>14</v>
      </c>
      <c r="C34" s="4795" t="s">
        <v>2298</v>
      </c>
      <c r="D34" s="4795" t="s">
        <v>2299</v>
      </c>
      <c r="E34" s="4795" t="s">
        <v>2300</v>
      </c>
      <c r="F34" s="4795" t="s">
        <v>51</v>
      </c>
      <c r="G34" s="4795" t="s">
        <v>18</v>
      </c>
      <c r="H34" s="4795" t="s">
        <v>18</v>
      </c>
      <c r="I34" s="4795" t="s">
        <v>597</v>
      </c>
    </row>
    <row customHeight="1" ht="11.25">
      <c r="A35" s="4795" t="s">
        <v>2178</v>
      </c>
      <c r="B35" s="4795" t="s">
        <v>14</v>
      </c>
      <c r="C35" s="4795" t="s">
        <v>2301</v>
      </c>
      <c r="D35" s="4795" t="s">
        <v>2302</v>
      </c>
      <c r="E35" s="4795" t="s">
        <v>2303</v>
      </c>
      <c r="F35" s="4795" t="s">
        <v>2304</v>
      </c>
      <c r="G35" s="4795" t="s">
        <v>2305</v>
      </c>
      <c r="H35" s="4795" t="s">
        <v>18</v>
      </c>
      <c r="I35" s="4795" t="s">
        <v>597</v>
      </c>
    </row>
    <row customHeight="1" ht="11.25">
      <c r="A36" s="4795" t="s">
        <v>2178</v>
      </c>
      <c r="B36" s="4795" t="s">
        <v>14</v>
      </c>
      <c r="C36" s="4795" t="s">
        <v>2306</v>
      </c>
      <c r="D36" s="4795" t="s">
        <v>2307</v>
      </c>
      <c r="E36" s="4795" t="s">
        <v>2308</v>
      </c>
      <c r="F36" s="4795" t="s">
        <v>2283</v>
      </c>
      <c r="G36" s="4795" t="s">
        <v>18</v>
      </c>
      <c r="H36" s="4795" t="s">
        <v>18</v>
      </c>
      <c r="I36" s="4795" t="s">
        <v>597</v>
      </c>
    </row>
    <row customHeight="1" ht="11.25">
      <c r="A37" s="4795" t="s">
        <v>2178</v>
      </c>
      <c r="B37" s="4795" t="s">
        <v>14</v>
      </c>
      <c r="C37" s="4795" t="s">
        <v>2309</v>
      </c>
      <c r="D37" s="4795" t="s">
        <v>2310</v>
      </c>
      <c r="E37" s="4795" t="s">
        <v>2311</v>
      </c>
      <c r="F37" s="4795" t="s">
        <v>2312</v>
      </c>
      <c r="G37" s="4795" t="s">
        <v>18</v>
      </c>
      <c r="H37" s="4795" t="s">
        <v>18</v>
      </c>
      <c r="I37" s="4795" t="s">
        <v>597</v>
      </c>
    </row>
    <row customHeight="1" ht="11.25">
      <c r="A38" s="4795" t="s">
        <v>2178</v>
      </c>
      <c r="B38" s="4795" t="s">
        <v>14</v>
      </c>
      <c r="C38" s="4795" t="s">
        <v>2313</v>
      </c>
      <c r="D38" s="4795" t="s">
        <v>2314</v>
      </c>
      <c r="E38" s="4795" t="s">
        <v>2315</v>
      </c>
      <c r="F38" s="4795" t="s">
        <v>2283</v>
      </c>
      <c r="G38" s="4795" t="s">
        <v>18</v>
      </c>
      <c r="H38" s="4795" t="s">
        <v>18</v>
      </c>
      <c r="I38" s="4795" t="s">
        <v>597</v>
      </c>
    </row>
    <row customHeight="1" ht="11.25">
      <c r="A39" s="4795" t="s">
        <v>2178</v>
      </c>
      <c r="B39" s="4795" t="s">
        <v>14</v>
      </c>
      <c r="C39" s="4795" t="s">
        <v>2316</v>
      </c>
      <c r="D39" s="4795" t="s">
        <v>2317</v>
      </c>
      <c r="E39" s="4795" t="s">
        <v>2318</v>
      </c>
      <c r="F39" s="4795" t="s">
        <v>51</v>
      </c>
      <c r="G39" s="4795" t="s">
        <v>18</v>
      </c>
      <c r="H39" s="4795" t="s">
        <v>18</v>
      </c>
      <c r="I39" s="4795" t="s">
        <v>597</v>
      </c>
    </row>
    <row customHeight="1" ht="11.25">
      <c r="A40" s="4795" t="s">
        <v>2178</v>
      </c>
      <c r="B40" s="4795" t="s">
        <v>14</v>
      </c>
      <c r="C40" s="4795" t="s">
        <v>2319</v>
      </c>
      <c r="D40" s="4795" t="s">
        <v>2320</v>
      </c>
      <c r="E40" s="4795" t="s">
        <v>2321</v>
      </c>
      <c r="F40" s="4795" t="s">
        <v>2322</v>
      </c>
      <c r="G40" s="4795" t="s">
        <v>18</v>
      </c>
      <c r="H40" s="4795" t="s">
        <v>18</v>
      </c>
      <c r="I40" s="4795" t="s">
        <v>597</v>
      </c>
    </row>
    <row customHeight="1" ht="11.25">
      <c r="A41" s="4795" t="s">
        <v>2178</v>
      </c>
      <c r="B41" s="4795" t="s">
        <v>14</v>
      </c>
      <c r="C41" s="4795" t="s">
        <v>2323</v>
      </c>
      <c r="D41" s="4795" t="s">
        <v>2324</v>
      </c>
      <c r="E41" s="4795" t="s">
        <v>2325</v>
      </c>
      <c r="F41" s="4795" t="s">
        <v>2322</v>
      </c>
      <c r="G41" s="4795" t="s">
        <v>18</v>
      </c>
      <c r="H41" s="4795" t="s">
        <v>18</v>
      </c>
      <c r="I41" s="4795" t="s">
        <v>597</v>
      </c>
    </row>
    <row customHeight="1" ht="11.25">
      <c r="A42" s="4795" t="s">
        <v>2178</v>
      </c>
      <c r="B42" s="4795" t="s">
        <v>14</v>
      </c>
      <c r="C42" s="4795" t="s">
        <v>2326</v>
      </c>
      <c r="D42" s="4795" t="s">
        <v>2327</v>
      </c>
      <c r="E42" s="4795" t="s">
        <v>2328</v>
      </c>
      <c r="F42" s="4795" t="s">
        <v>2189</v>
      </c>
      <c r="G42" s="4795" t="s">
        <v>2329</v>
      </c>
      <c r="H42" s="4795" t="s">
        <v>18</v>
      </c>
      <c r="I42" s="4795" t="s">
        <v>597</v>
      </c>
    </row>
    <row customHeight="1" ht="11.25">
      <c r="A43" s="4795" t="s">
        <v>2178</v>
      </c>
      <c r="B43" s="4795" t="s">
        <v>14</v>
      </c>
      <c r="C43" s="4795" t="s">
        <v>2330</v>
      </c>
      <c r="D43" s="4795" t="s">
        <v>2331</v>
      </c>
      <c r="E43" s="4795" t="s">
        <v>2332</v>
      </c>
      <c r="F43" s="4795" t="s">
        <v>2333</v>
      </c>
      <c r="G43" s="4795" t="s">
        <v>18</v>
      </c>
      <c r="H43" s="4795" t="s">
        <v>18</v>
      </c>
      <c r="I43" s="4795" t="s">
        <v>597</v>
      </c>
    </row>
    <row customHeight="1" ht="11.25">
      <c r="A44" s="4795" t="s">
        <v>2178</v>
      </c>
      <c r="B44" s="4795" t="s">
        <v>14</v>
      </c>
      <c r="C44" s="4795" t="s">
        <v>2334</v>
      </c>
      <c r="D44" s="4795" t="s">
        <v>2335</v>
      </c>
      <c r="E44" s="4795" t="s">
        <v>2336</v>
      </c>
      <c r="F44" s="4795" t="s">
        <v>2210</v>
      </c>
      <c r="G44" s="4795" t="s">
        <v>18</v>
      </c>
      <c r="H44" s="4795" t="s">
        <v>18</v>
      </c>
      <c r="I44" s="4795" t="s">
        <v>597</v>
      </c>
    </row>
    <row customHeight="1" ht="11.25">
      <c r="A45" s="4795" t="s">
        <v>2178</v>
      </c>
      <c r="B45" s="4795" t="s">
        <v>14</v>
      </c>
      <c r="C45" s="4795" t="s">
        <v>2337</v>
      </c>
      <c r="D45" s="4795" t="s">
        <v>2338</v>
      </c>
      <c r="E45" s="4795" t="s">
        <v>2339</v>
      </c>
      <c r="F45" s="4795" t="s">
        <v>2340</v>
      </c>
      <c r="G45" s="4795" t="s">
        <v>18</v>
      </c>
      <c r="H45" s="4795" t="s">
        <v>18</v>
      </c>
      <c r="I45" s="4795" t="s">
        <v>597</v>
      </c>
    </row>
    <row customHeight="1" ht="11.25">
      <c r="A46" s="4795" t="s">
        <v>2178</v>
      </c>
      <c r="B46" s="4795" t="s">
        <v>14</v>
      </c>
      <c r="C46" s="4795" t="s">
        <v>2341</v>
      </c>
      <c r="D46" s="4795" t="s">
        <v>2342</v>
      </c>
      <c r="E46" s="4795" t="s">
        <v>2343</v>
      </c>
      <c r="F46" s="4795" t="s">
        <v>2344</v>
      </c>
      <c r="G46" s="4795" t="s">
        <v>18</v>
      </c>
      <c r="H46" s="4795" t="s">
        <v>18</v>
      </c>
      <c r="I46" s="4795" t="s">
        <v>597</v>
      </c>
    </row>
    <row customHeight="1" ht="11.25">
      <c r="A47" s="4795" t="s">
        <v>2178</v>
      </c>
      <c r="B47" s="4795" t="s">
        <v>14</v>
      </c>
      <c r="C47" s="4795" t="s">
        <v>2345</v>
      </c>
      <c r="D47" s="4795" t="s">
        <v>2346</v>
      </c>
      <c r="E47" s="4795" t="s">
        <v>2347</v>
      </c>
      <c r="F47" s="4795" t="s">
        <v>2344</v>
      </c>
      <c r="G47" s="4795" t="s">
        <v>18</v>
      </c>
      <c r="H47" s="4795" t="s">
        <v>18</v>
      </c>
      <c r="I47" s="4795" t="s">
        <v>597</v>
      </c>
    </row>
    <row customHeight="1" ht="11.25">
      <c r="A48" s="4795" t="s">
        <v>2178</v>
      </c>
      <c r="B48" s="4795" t="s">
        <v>14</v>
      </c>
      <c r="C48" s="4795" t="s">
        <v>2348</v>
      </c>
      <c r="D48" s="4795" t="s">
        <v>2349</v>
      </c>
      <c r="E48" s="4795" t="s">
        <v>2350</v>
      </c>
      <c r="F48" s="4795" t="s">
        <v>2351</v>
      </c>
      <c r="G48" s="4795" t="s">
        <v>18</v>
      </c>
      <c r="H48" s="4795" t="s">
        <v>18</v>
      </c>
      <c r="I48" s="4795" t="s">
        <v>597</v>
      </c>
    </row>
    <row customHeight="1" ht="11.25">
      <c r="A49" s="4795" t="s">
        <v>2178</v>
      </c>
      <c r="B49" s="4795" t="s">
        <v>14</v>
      </c>
      <c r="C49" s="4795" t="s">
        <v>2352</v>
      </c>
      <c r="D49" s="4795" t="s">
        <v>46</v>
      </c>
      <c r="E49" s="4795" t="s">
        <v>49</v>
      </c>
      <c r="F49" s="4795" t="s">
        <v>51</v>
      </c>
      <c r="G49" s="4795" t="s">
        <v>18</v>
      </c>
      <c r="H49" s="4795" t="s">
        <v>18</v>
      </c>
      <c r="I49" s="4795" t="s">
        <v>597</v>
      </c>
    </row>
    <row customHeight="1" ht="11.25">
      <c r="A50" s="4795" t="s">
        <v>2178</v>
      </c>
      <c r="B50" s="4795" t="s">
        <v>14</v>
      </c>
      <c r="C50" s="4795" t="s">
        <v>2353</v>
      </c>
      <c r="D50" s="4795" t="s">
        <v>2354</v>
      </c>
      <c r="E50" s="4795" t="s">
        <v>2355</v>
      </c>
      <c r="F50" s="4795" t="s">
        <v>2340</v>
      </c>
      <c r="G50" s="4795" t="s">
        <v>18</v>
      </c>
      <c r="H50" s="4795" t="s">
        <v>18</v>
      </c>
      <c r="I50" s="4795" t="s">
        <v>597</v>
      </c>
    </row>
    <row customHeight="1" ht="11.25">
      <c r="A51" s="4795" t="s">
        <v>2178</v>
      </c>
      <c r="B51" s="4795" t="s">
        <v>14</v>
      </c>
      <c r="C51" s="4795" t="s">
        <v>2356</v>
      </c>
      <c r="D51" s="4795" t="s">
        <v>2357</v>
      </c>
      <c r="E51" s="4795" t="s">
        <v>2358</v>
      </c>
      <c r="F51" s="4795" t="s">
        <v>2359</v>
      </c>
      <c r="G51" s="4795" t="s">
        <v>18</v>
      </c>
      <c r="H51" s="4795" t="s">
        <v>18</v>
      </c>
      <c r="I51" s="4795" t="s">
        <v>597</v>
      </c>
    </row>
    <row customHeight="1" ht="11.25">
      <c r="A52" s="4795" t="s">
        <v>2178</v>
      </c>
      <c r="B52" s="4795" t="s">
        <v>14</v>
      </c>
      <c r="C52" s="4795" t="s">
        <v>2360</v>
      </c>
      <c r="D52" s="4795" t="s">
        <v>2361</v>
      </c>
      <c r="E52" s="4795" t="s">
        <v>2362</v>
      </c>
      <c r="F52" s="4795" t="s">
        <v>2322</v>
      </c>
      <c r="G52" s="4795" t="s">
        <v>18</v>
      </c>
      <c r="H52" s="4795" t="s">
        <v>18</v>
      </c>
      <c r="I52" s="4795" t="s">
        <v>597</v>
      </c>
    </row>
    <row customHeight="1" ht="11.25">
      <c r="A53" s="4795" t="s">
        <v>2178</v>
      </c>
      <c r="B53" s="4795" t="s">
        <v>14</v>
      </c>
      <c r="C53" s="4795" t="s">
        <v>2363</v>
      </c>
      <c r="D53" s="4795" t="s">
        <v>2364</v>
      </c>
      <c r="E53" s="4795" t="s">
        <v>2365</v>
      </c>
      <c r="F53" s="4795" t="s">
        <v>2366</v>
      </c>
      <c r="G53" s="4795" t="s">
        <v>18</v>
      </c>
      <c r="H53" s="4795" t="s">
        <v>18</v>
      </c>
      <c r="I53" s="4795" t="s">
        <v>597</v>
      </c>
    </row>
    <row customHeight="1" ht="11.25">
      <c r="A54" s="4795" t="s">
        <v>2178</v>
      </c>
      <c r="B54" s="4795" t="s">
        <v>14</v>
      </c>
      <c r="C54" s="4795" t="s">
        <v>2367</v>
      </c>
      <c r="D54" s="4795" t="s">
        <v>2368</v>
      </c>
      <c r="E54" s="4795" t="s">
        <v>2369</v>
      </c>
      <c r="F54" s="4795" t="s">
        <v>2229</v>
      </c>
      <c r="G54" s="4795" t="s">
        <v>18</v>
      </c>
      <c r="H54" s="4795" t="s">
        <v>18</v>
      </c>
      <c r="I54" s="4795" t="s">
        <v>597</v>
      </c>
    </row>
    <row customHeight="1" ht="11.25">
      <c r="A55" s="4795" t="s">
        <v>2178</v>
      </c>
      <c r="B55" s="4795" t="s">
        <v>14</v>
      </c>
      <c r="C55" s="4795" t="s">
        <v>2370</v>
      </c>
      <c r="D55" s="4795" t="s">
        <v>2371</v>
      </c>
      <c r="E55" s="4795" t="s">
        <v>2372</v>
      </c>
      <c r="F55" s="4795" t="s">
        <v>2373</v>
      </c>
      <c r="G55" s="4795" t="s">
        <v>18</v>
      </c>
      <c r="H55" s="4795" t="s">
        <v>18</v>
      </c>
      <c r="I55" s="4795" t="s">
        <v>597</v>
      </c>
    </row>
    <row customHeight="1" ht="11.25">
      <c r="A56" s="4795" t="s">
        <v>2178</v>
      </c>
      <c r="B56" s="4795" t="s">
        <v>14</v>
      </c>
      <c r="C56" s="4795" t="s">
        <v>2374</v>
      </c>
      <c r="D56" s="4795" t="s">
        <v>2375</v>
      </c>
      <c r="E56" s="4795" t="s">
        <v>2196</v>
      </c>
      <c r="F56" s="4795" t="s">
        <v>2376</v>
      </c>
      <c r="G56" s="4795" t="s">
        <v>18</v>
      </c>
      <c r="H56" s="4795" t="s">
        <v>18</v>
      </c>
      <c r="I56" s="4795" t="s">
        <v>597</v>
      </c>
    </row>
    <row customHeight="1" ht="11.25">
      <c r="A57" s="4795" t="s">
        <v>2178</v>
      </c>
      <c r="B57" s="4795" t="s">
        <v>14</v>
      </c>
      <c r="C57" s="4795" t="s">
        <v>2377</v>
      </c>
      <c r="D57" s="4795" t="s">
        <v>2378</v>
      </c>
      <c r="E57" s="4795" t="s">
        <v>2379</v>
      </c>
      <c r="F57" s="4795" t="s">
        <v>2380</v>
      </c>
      <c r="G57" s="4795" t="s">
        <v>18</v>
      </c>
      <c r="H57" s="4795" t="s">
        <v>18</v>
      </c>
      <c r="I57" s="4795" t="s">
        <v>597</v>
      </c>
    </row>
    <row customHeight="1" ht="11.25">
      <c r="A58" s="4795" t="s">
        <v>2178</v>
      </c>
      <c r="B58" s="4795" t="s">
        <v>14</v>
      </c>
      <c r="C58" s="4795" t="s">
        <v>2381</v>
      </c>
      <c r="D58" s="4795" t="s">
        <v>2382</v>
      </c>
      <c r="E58" s="4795" t="s">
        <v>2383</v>
      </c>
      <c r="F58" s="4795" t="s">
        <v>2380</v>
      </c>
      <c r="G58" s="4795" t="s">
        <v>18</v>
      </c>
      <c r="H58" s="4795" t="s">
        <v>18</v>
      </c>
      <c r="I58" s="4795" t="s">
        <v>597</v>
      </c>
    </row>
    <row customHeight="1" ht="11.25">
      <c r="A59" s="4795" t="s">
        <v>2178</v>
      </c>
      <c r="B59" s="4795" t="s">
        <v>14</v>
      </c>
      <c r="C59" s="4795" t="s">
        <v>2384</v>
      </c>
      <c r="D59" s="4795" t="s">
        <v>2385</v>
      </c>
      <c r="E59" s="4795" t="s">
        <v>2386</v>
      </c>
      <c r="F59" s="4795" t="s">
        <v>2344</v>
      </c>
      <c r="G59" s="4795" t="s">
        <v>18</v>
      </c>
      <c r="H59" s="4795" t="s">
        <v>18</v>
      </c>
      <c r="I59" s="4795" t="s">
        <v>597</v>
      </c>
    </row>
    <row customHeight="1" ht="11.25">
      <c r="A60" s="4795" t="s">
        <v>2178</v>
      </c>
      <c r="B60" s="4795" t="s">
        <v>14</v>
      </c>
      <c r="C60" s="4795" t="s">
        <v>2387</v>
      </c>
      <c r="D60" s="4795" t="s">
        <v>2388</v>
      </c>
      <c r="E60" s="4795" t="s">
        <v>2389</v>
      </c>
      <c r="F60" s="4795" t="s">
        <v>51</v>
      </c>
      <c r="G60" s="4795" t="s">
        <v>18</v>
      </c>
      <c r="H60" s="4795" t="s">
        <v>18</v>
      </c>
      <c r="I60" s="4795" t="s">
        <v>597</v>
      </c>
    </row>
    <row customHeight="1" ht="11.25">
      <c r="A61" s="4795" t="s">
        <v>2178</v>
      </c>
      <c r="B61" s="4795" t="s">
        <v>14</v>
      </c>
      <c r="C61" s="4795" t="s">
        <v>2390</v>
      </c>
      <c r="D61" s="4795" t="s">
        <v>2391</v>
      </c>
      <c r="E61" s="4795" t="s">
        <v>2275</v>
      </c>
      <c r="F61" s="4795" t="s">
        <v>2392</v>
      </c>
      <c r="G61" s="4795" t="s">
        <v>18</v>
      </c>
      <c r="H61" s="4795" t="s">
        <v>18</v>
      </c>
      <c r="I61" s="4795" t="s">
        <v>597</v>
      </c>
    </row>
    <row customHeight="1" ht="11.25">
      <c r="A62" s="4795" t="s">
        <v>2178</v>
      </c>
      <c r="B62" s="4795" t="s">
        <v>14</v>
      </c>
      <c r="C62" s="4795" t="s">
        <v>2393</v>
      </c>
      <c r="D62" s="4795" t="s">
        <v>2394</v>
      </c>
      <c r="E62" s="4795" t="s">
        <v>2395</v>
      </c>
      <c r="F62" s="4795" t="s">
        <v>2344</v>
      </c>
      <c r="G62" s="4795" t="s">
        <v>18</v>
      </c>
      <c r="H62" s="4795" t="s">
        <v>18</v>
      </c>
      <c r="I62" s="4795" t="s">
        <v>597</v>
      </c>
    </row>
    <row customHeight="1" ht="11.25">
      <c r="A63" s="4795" t="s">
        <v>2178</v>
      </c>
      <c r="B63" s="4795" t="s">
        <v>14</v>
      </c>
      <c r="C63" s="4795" t="s">
        <v>2396</v>
      </c>
      <c r="D63" s="4795" t="s">
        <v>2397</v>
      </c>
      <c r="E63" s="4795" t="s">
        <v>2398</v>
      </c>
      <c r="F63" s="4795" t="s">
        <v>2199</v>
      </c>
      <c r="G63" s="4795" t="s">
        <v>18</v>
      </c>
      <c r="H63" s="4795" t="s">
        <v>18</v>
      </c>
      <c r="I63" s="4795" t="s">
        <v>597</v>
      </c>
    </row>
    <row customHeight="1" ht="11.25">
      <c r="A64" s="4795" t="s">
        <v>2178</v>
      </c>
      <c r="B64" s="4795" t="s">
        <v>14</v>
      </c>
      <c r="C64" s="4795" t="s">
        <v>2399</v>
      </c>
      <c r="D64" s="4795" t="s">
        <v>2400</v>
      </c>
      <c r="E64" s="4795" t="s">
        <v>2401</v>
      </c>
      <c r="F64" s="4795" t="s">
        <v>2229</v>
      </c>
      <c r="G64" s="4795" t="s">
        <v>18</v>
      </c>
      <c r="H64" s="4795" t="s">
        <v>18</v>
      </c>
      <c r="I64" s="4795" t="s">
        <v>597</v>
      </c>
    </row>
    <row customHeight="1" ht="11.25">
      <c r="A65" s="4795" t="s">
        <v>2178</v>
      </c>
      <c r="B65" s="4795" t="s">
        <v>14</v>
      </c>
      <c r="C65" s="4795" t="s">
        <v>2402</v>
      </c>
      <c r="D65" s="4795" t="s">
        <v>2403</v>
      </c>
      <c r="E65" s="4795" t="s">
        <v>2404</v>
      </c>
      <c r="F65" s="4795" t="s">
        <v>2185</v>
      </c>
      <c r="G65" s="4795" t="s">
        <v>18</v>
      </c>
      <c r="H65" s="4795" t="s">
        <v>18</v>
      </c>
      <c r="I65" s="4795" t="s">
        <v>597</v>
      </c>
    </row>
    <row customHeight="1" ht="11.25">
      <c r="A66" s="4795" t="s">
        <v>2178</v>
      </c>
      <c r="B66" s="4795" t="s">
        <v>14</v>
      </c>
      <c r="C66" s="4795" t="s">
        <v>2405</v>
      </c>
      <c r="D66" s="4795" t="s">
        <v>2406</v>
      </c>
      <c r="E66" s="4795" t="s">
        <v>2407</v>
      </c>
      <c r="F66" s="4795" t="s">
        <v>2322</v>
      </c>
      <c r="G66" s="4795" t="s">
        <v>18</v>
      </c>
      <c r="H66" s="4795" t="s">
        <v>18</v>
      </c>
      <c r="I66" s="4795" t="s">
        <v>597</v>
      </c>
    </row>
    <row customHeight="1" ht="11.25">
      <c r="A67" s="4795" t="s">
        <v>2178</v>
      </c>
      <c r="B67" s="4795" t="s">
        <v>14</v>
      </c>
      <c r="C67" s="4795" t="s">
        <v>2408</v>
      </c>
      <c r="D67" s="4795" t="s">
        <v>2409</v>
      </c>
      <c r="E67" s="4795" t="s">
        <v>2410</v>
      </c>
      <c r="F67" s="4795" t="s">
        <v>2411</v>
      </c>
      <c r="G67" s="4795" t="s">
        <v>2412</v>
      </c>
      <c r="H67" s="4795" t="s">
        <v>18</v>
      </c>
      <c r="I67" s="4795" t="s">
        <v>597</v>
      </c>
    </row>
    <row customHeight="1" ht="11.25">
      <c r="A68" s="4795" t="s">
        <v>2178</v>
      </c>
      <c r="B68" s="4795" t="s">
        <v>14</v>
      </c>
      <c r="C68" s="4795" t="s">
        <v>2413</v>
      </c>
      <c r="D68" s="4795" t="s">
        <v>2414</v>
      </c>
      <c r="E68" s="4795" t="s">
        <v>2415</v>
      </c>
      <c r="F68" s="4795" t="s">
        <v>2185</v>
      </c>
      <c r="G68" s="4795" t="s">
        <v>2416</v>
      </c>
      <c r="H68" s="4795" t="s">
        <v>18</v>
      </c>
      <c r="I68" s="4795" t="s">
        <v>597</v>
      </c>
    </row>
    <row customHeight="1" ht="11.25">
      <c r="A69" s="4795" t="s">
        <v>2178</v>
      </c>
      <c r="B69" s="4795" t="s">
        <v>14</v>
      </c>
      <c r="C69" s="4795" t="s">
        <v>2417</v>
      </c>
      <c r="D69" s="4795" t="s">
        <v>2418</v>
      </c>
      <c r="E69" s="4795" t="s">
        <v>2419</v>
      </c>
      <c r="F69" s="4795" t="s">
        <v>2185</v>
      </c>
      <c r="G69" s="4795" t="s">
        <v>2420</v>
      </c>
      <c r="H69" s="4795" t="s">
        <v>18</v>
      </c>
      <c r="I69" s="4795" t="s">
        <v>597</v>
      </c>
    </row>
    <row customHeight="1" ht="11.25">
      <c r="A70" s="4795" t="s">
        <v>2178</v>
      </c>
      <c r="B70" s="4795" t="s">
        <v>14</v>
      </c>
      <c r="C70" s="4795" t="s">
        <v>2421</v>
      </c>
      <c r="D70" s="4795" t="s">
        <v>2422</v>
      </c>
      <c r="E70" s="4795" t="s">
        <v>2423</v>
      </c>
      <c r="F70" s="4795" t="s">
        <v>2424</v>
      </c>
      <c r="G70" s="4795" t="s">
        <v>18</v>
      </c>
      <c r="H70" s="4795" t="s">
        <v>18</v>
      </c>
      <c r="I70" s="4795" t="s">
        <v>597</v>
      </c>
    </row>
    <row customHeight="1" ht="11.25">
      <c r="A71" s="4795" t="s">
        <v>2178</v>
      </c>
      <c r="B71" s="4795" t="s">
        <v>14</v>
      </c>
      <c r="C71" s="4795" t="s">
        <v>2425</v>
      </c>
      <c r="D71" s="4795" t="s">
        <v>2426</v>
      </c>
      <c r="E71" s="4795" t="s">
        <v>2427</v>
      </c>
      <c r="F71" s="4795" t="s">
        <v>2411</v>
      </c>
      <c r="G71" s="4795" t="s">
        <v>18</v>
      </c>
      <c r="H71" s="4795" t="s">
        <v>18</v>
      </c>
      <c r="I71" s="4795" t="s">
        <v>597</v>
      </c>
    </row>
    <row customHeight="1" ht="11.25">
      <c r="A72" s="4795" t="s">
        <v>2178</v>
      </c>
      <c r="B72" s="4795" t="s">
        <v>14</v>
      </c>
      <c r="C72" s="4795" t="s">
        <v>2428</v>
      </c>
      <c r="D72" s="4795" t="s">
        <v>2429</v>
      </c>
      <c r="E72" s="4795" t="s">
        <v>2430</v>
      </c>
      <c r="F72" s="4795" t="s">
        <v>2229</v>
      </c>
      <c r="G72" s="4795" t="s">
        <v>18</v>
      </c>
      <c r="H72" s="4795" t="s">
        <v>18</v>
      </c>
      <c r="I72" s="4795" t="s">
        <v>597</v>
      </c>
    </row>
    <row customHeight="1" ht="11.25">
      <c r="A73" s="4795" t="s">
        <v>2178</v>
      </c>
      <c r="B73" s="4795" t="s">
        <v>14</v>
      </c>
      <c r="C73" s="4795" t="s">
        <v>2431</v>
      </c>
      <c r="D73" s="4795" t="s">
        <v>2432</v>
      </c>
      <c r="E73" s="4795" t="s">
        <v>2433</v>
      </c>
      <c r="F73" s="4795" t="s">
        <v>2411</v>
      </c>
      <c r="G73" s="4795" t="s">
        <v>18</v>
      </c>
      <c r="H73" s="4795" t="s">
        <v>18</v>
      </c>
      <c r="I73" s="4795" t="s">
        <v>597</v>
      </c>
    </row>
    <row customHeight="1" ht="11.25">
      <c r="A74" s="4795" t="s">
        <v>2178</v>
      </c>
      <c r="B74" s="4795" t="s">
        <v>14</v>
      </c>
      <c r="C74" s="4795" t="s">
        <v>2434</v>
      </c>
      <c r="D74" s="4795" t="s">
        <v>2435</v>
      </c>
      <c r="E74" s="4795" t="s">
        <v>2436</v>
      </c>
      <c r="F74" s="4795" t="s">
        <v>2312</v>
      </c>
      <c r="G74" s="4795" t="s">
        <v>2437</v>
      </c>
      <c r="H74" s="4795" t="s">
        <v>18</v>
      </c>
      <c r="I74" s="4795" t="s">
        <v>597</v>
      </c>
    </row>
    <row customHeight="1" ht="11.25">
      <c r="A75" s="4795" t="s">
        <v>2178</v>
      </c>
      <c r="B75" s="4795" t="s">
        <v>14</v>
      </c>
      <c r="C75" s="4795" t="s">
        <v>2438</v>
      </c>
      <c r="D75" s="4795" t="s">
        <v>2439</v>
      </c>
      <c r="E75" s="4795" t="s">
        <v>2440</v>
      </c>
      <c r="F75" s="4795" t="s">
        <v>2441</v>
      </c>
      <c r="G75" s="4795" t="s">
        <v>2442</v>
      </c>
      <c r="H75" s="4795" t="s">
        <v>18</v>
      </c>
      <c r="I75" s="4795" t="s">
        <v>597</v>
      </c>
    </row>
    <row customHeight="1" ht="11.25">
      <c r="A76" s="4795" t="s">
        <v>2178</v>
      </c>
      <c r="B76" s="4795" t="s">
        <v>14</v>
      </c>
      <c r="C76" s="4795" t="s">
        <v>2443</v>
      </c>
      <c r="D76" s="4795" t="s">
        <v>2444</v>
      </c>
      <c r="E76" s="4795" t="s">
        <v>2445</v>
      </c>
      <c r="F76" s="4795" t="s">
        <v>2411</v>
      </c>
      <c r="G76" s="4795" t="s">
        <v>18</v>
      </c>
      <c r="H76" s="4795" t="s">
        <v>18</v>
      </c>
      <c r="I76" s="4795" t="s">
        <v>597</v>
      </c>
    </row>
    <row customHeight="1" ht="11.25">
      <c r="A77" s="4795" t="s">
        <v>2178</v>
      </c>
      <c r="B77" s="4795" t="s">
        <v>14</v>
      </c>
      <c r="C77" s="4795" t="s">
        <v>2446</v>
      </c>
      <c r="D77" s="4795" t="s">
        <v>2447</v>
      </c>
      <c r="E77" s="4795" t="s">
        <v>2448</v>
      </c>
      <c r="F77" s="4795" t="s">
        <v>2411</v>
      </c>
      <c r="G77" s="4795" t="s">
        <v>18</v>
      </c>
      <c r="H77" s="4795" t="s">
        <v>18</v>
      </c>
      <c r="I77" s="4795" t="s">
        <v>597</v>
      </c>
    </row>
    <row customHeight="1" ht="11.25">
      <c r="A78" s="4795" t="s">
        <v>2178</v>
      </c>
      <c r="B78" s="4795" t="s">
        <v>14</v>
      </c>
      <c r="C78" s="4795" t="s">
        <v>2449</v>
      </c>
      <c r="D78" s="4795" t="s">
        <v>2450</v>
      </c>
      <c r="E78" s="4795" t="s">
        <v>2451</v>
      </c>
      <c r="F78" s="4795" t="s">
        <v>2452</v>
      </c>
      <c r="G78" s="4795" t="s">
        <v>18</v>
      </c>
      <c r="H78" s="4795" t="s">
        <v>18</v>
      </c>
      <c r="I78" s="4795" t="s">
        <v>597</v>
      </c>
    </row>
    <row customHeight="1" ht="11.25">
      <c r="A79" s="4795" t="s">
        <v>2178</v>
      </c>
      <c r="B79" s="4795" t="s">
        <v>14</v>
      </c>
      <c r="C79" s="4795" t="s">
        <v>2453</v>
      </c>
      <c r="D79" s="4795" t="s">
        <v>2454</v>
      </c>
      <c r="E79" s="4795" t="s">
        <v>2455</v>
      </c>
      <c r="F79" s="4795" t="s">
        <v>2181</v>
      </c>
      <c r="G79" s="4795" t="s">
        <v>18</v>
      </c>
      <c r="H79" s="4795" t="s">
        <v>18</v>
      </c>
      <c r="I79" s="4795" t="s">
        <v>597</v>
      </c>
    </row>
    <row customHeight="1" ht="11.25">
      <c r="A80" s="4795" t="s">
        <v>2178</v>
      </c>
      <c r="B80" s="4795" t="s">
        <v>14</v>
      </c>
      <c r="C80" s="4795" t="s">
        <v>2456</v>
      </c>
      <c r="D80" s="4795" t="s">
        <v>2457</v>
      </c>
      <c r="E80" s="4795" t="s">
        <v>2458</v>
      </c>
      <c r="F80" s="4795" t="s">
        <v>51</v>
      </c>
      <c r="G80" s="4795" t="s">
        <v>18</v>
      </c>
      <c r="H80" s="4795" t="s">
        <v>18</v>
      </c>
      <c r="I80" s="4795" t="s">
        <v>597</v>
      </c>
    </row>
    <row customHeight="1" ht="11.25">
      <c r="A81" s="4795" t="s">
        <v>2178</v>
      </c>
      <c r="B81" s="4795" t="s">
        <v>14</v>
      </c>
      <c r="C81" s="4795" t="s">
        <v>2459</v>
      </c>
      <c r="D81" s="4795" t="s">
        <v>2460</v>
      </c>
      <c r="E81" s="4795" t="s">
        <v>2461</v>
      </c>
      <c r="F81" s="4795" t="s">
        <v>2185</v>
      </c>
      <c r="G81" s="4795" t="s">
        <v>18</v>
      </c>
      <c r="H81" s="4795" t="s">
        <v>18</v>
      </c>
      <c r="I81" s="4795" t="s">
        <v>597</v>
      </c>
    </row>
    <row customHeight="1" ht="11.25">
      <c r="A82" s="4795" t="s">
        <v>2178</v>
      </c>
      <c r="B82" s="4795" t="s">
        <v>14</v>
      </c>
      <c r="C82" s="4795" t="s">
        <v>2462</v>
      </c>
      <c r="D82" s="4795" t="s">
        <v>2463</v>
      </c>
      <c r="E82" s="4795" t="s">
        <v>2464</v>
      </c>
      <c r="F82" s="4795" t="s">
        <v>2465</v>
      </c>
      <c r="G82" s="4795" t="s">
        <v>2466</v>
      </c>
      <c r="H82" s="4795" t="s">
        <v>18</v>
      </c>
      <c r="I82" s="4795" t="s">
        <v>597</v>
      </c>
    </row>
    <row customHeight="1" ht="11.25">
      <c r="A83" s="4795" t="s">
        <v>2178</v>
      </c>
      <c r="B83" s="4795" t="s">
        <v>14</v>
      </c>
      <c r="C83" s="4795" t="s">
        <v>2467</v>
      </c>
      <c r="D83" s="4795" t="s">
        <v>2468</v>
      </c>
      <c r="E83" s="4795" t="s">
        <v>2469</v>
      </c>
      <c r="F83" s="4795" t="s">
        <v>2210</v>
      </c>
      <c r="G83" s="4795" t="s">
        <v>2470</v>
      </c>
      <c r="H83" s="4795" t="s">
        <v>18</v>
      </c>
      <c r="I83" s="4795" t="s">
        <v>597</v>
      </c>
    </row>
    <row customHeight="1" ht="11.25">
      <c r="A84" s="4795" t="s">
        <v>2178</v>
      </c>
      <c r="B84" s="4795" t="s">
        <v>14</v>
      </c>
      <c r="C84" s="4795" t="s">
        <v>2471</v>
      </c>
      <c r="D84" s="4795" t="s">
        <v>2472</v>
      </c>
      <c r="E84" s="4795" t="s">
        <v>2473</v>
      </c>
      <c r="F84" s="4795" t="s">
        <v>2452</v>
      </c>
      <c r="G84" s="4795" t="s">
        <v>18</v>
      </c>
      <c r="H84" s="4795" t="s">
        <v>18</v>
      </c>
      <c r="I84" s="4795" t="s">
        <v>597</v>
      </c>
    </row>
    <row customHeight="1" ht="11.25">
      <c r="A85" s="4795" t="s">
        <v>2178</v>
      </c>
      <c r="B85" s="4795" t="s">
        <v>14</v>
      </c>
      <c r="C85" s="4795" t="s">
        <v>2474</v>
      </c>
      <c r="D85" s="4795" t="s">
        <v>2475</v>
      </c>
      <c r="E85" s="4795" t="s">
        <v>2476</v>
      </c>
      <c r="F85" s="4795" t="s">
        <v>2380</v>
      </c>
      <c r="G85" s="4795" t="s">
        <v>2477</v>
      </c>
      <c r="H85" s="4795" t="s">
        <v>18</v>
      </c>
      <c r="I85" s="4795" t="s">
        <v>597</v>
      </c>
    </row>
    <row customHeight="1" ht="11.25">
      <c r="A86" s="4795" t="s">
        <v>2178</v>
      </c>
      <c r="B86" s="4795" t="s">
        <v>14</v>
      </c>
      <c r="C86" s="4795" t="s">
        <v>2478</v>
      </c>
      <c r="D86" s="4795" t="s">
        <v>2479</v>
      </c>
      <c r="E86" s="4795" t="s">
        <v>2480</v>
      </c>
      <c r="F86" s="4795" t="s">
        <v>2238</v>
      </c>
      <c r="G86" s="4795" t="s">
        <v>18</v>
      </c>
      <c r="H86" s="4795" t="s">
        <v>18</v>
      </c>
      <c r="I86" s="4795" t="s">
        <v>597</v>
      </c>
    </row>
    <row customHeight="1" ht="11.25">
      <c r="A87" s="4795" t="s">
        <v>2178</v>
      </c>
      <c r="B87" s="4795" t="s">
        <v>14</v>
      </c>
      <c r="C87" s="4795" t="s">
        <v>2481</v>
      </c>
      <c r="D87" s="4795" t="s">
        <v>2482</v>
      </c>
      <c r="E87" s="4795" t="s">
        <v>2483</v>
      </c>
      <c r="F87" s="4795" t="s">
        <v>51</v>
      </c>
      <c r="G87" s="4795" t="s">
        <v>18</v>
      </c>
      <c r="H87" s="4795" t="s">
        <v>18</v>
      </c>
      <c r="I87" s="4795" t="s">
        <v>597</v>
      </c>
    </row>
    <row customHeight="1" ht="11.25">
      <c r="A88" s="4795" t="s">
        <v>2178</v>
      </c>
      <c r="B88" s="4795" t="s">
        <v>14</v>
      </c>
      <c r="C88" s="4795" t="s">
        <v>2484</v>
      </c>
      <c r="D88" s="4795" t="s">
        <v>2485</v>
      </c>
      <c r="E88" s="4795" t="s">
        <v>2486</v>
      </c>
      <c r="F88" s="4795" t="s">
        <v>2359</v>
      </c>
      <c r="G88" s="4795" t="s">
        <v>18</v>
      </c>
      <c r="H88" s="4795" t="s">
        <v>18</v>
      </c>
      <c r="I88" s="4795" t="s">
        <v>597</v>
      </c>
    </row>
    <row customHeight="1" ht="11.25">
      <c r="A89" s="4795" t="s">
        <v>2178</v>
      </c>
      <c r="B89" s="4795" t="s">
        <v>14</v>
      </c>
      <c r="C89" s="4795" t="s">
        <v>2487</v>
      </c>
      <c r="D89" s="4795" t="s">
        <v>2488</v>
      </c>
      <c r="E89" s="4795" t="s">
        <v>2489</v>
      </c>
      <c r="F89" s="4795" t="s">
        <v>2185</v>
      </c>
      <c r="G89" s="4795" t="s">
        <v>18</v>
      </c>
      <c r="H89" s="4795" t="s">
        <v>18</v>
      </c>
      <c r="I89" s="4795" t="s">
        <v>597</v>
      </c>
    </row>
    <row customHeight="1" ht="11.25">
      <c r="A90" s="4795" t="s">
        <v>2178</v>
      </c>
      <c r="B90" s="4795" t="s">
        <v>14</v>
      </c>
      <c r="C90" s="4795" t="s">
        <v>2490</v>
      </c>
      <c r="D90" s="4795" t="s">
        <v>2491</v>
      </c>
      <c r="E90" s="4795" t="s">
        <v>2492</v>
      </c>
      <c r="F90" s="4795" t="s">
        <v>2185</v>
      </c>
      <c r="G90" s="4795" t="s">
        <v>18</v>
      </c>
      <c r="H90" s="4795" t="s">
        <v>18</v>
      </c>
      <c r="I90" s="4795" t="s">
        <v>597</v>
      </c>
    </row>
    <row customHeight="1" ht="11.25">
      <c r="A91" s="4795" t="s">
        <v>2178</v>
      </c>
      <c r="B91" s="4795" t="s">
        <v>14</v>
      </c>
      <c r="C91" s="4795" t="s">
        <v>2493</v>
      </c>
      <c r="D91" s="4795" t="s">
        <v>2494</v>
      </c>
      <c r="E91" s="4795" t="s">
        <v>2495</v>
      </c>
      <c r="F91" s="4795" t="s">
        <v>2359</v>
      </c>
      <c r="G91" s="4795" t="s">
        <v>2239</v>
      </c>
      <c r="H91" s="4795" t="s">
        <v>18</v>
      </c>
      <c r="I91" s="4795" t="s">
        <v>597</v>
      </c>
    </row>
    <row customHeight="1" ht="11.25">
      <c r="A92" s="4795" t="s">
        <v>2178</v>
      </c>
      <c r="B92" s="4795" t="s">
        <v>14</v>
      </c>
      <c r="C92" s="4795" t="s">
        <v>2496</v>
      </c>
      <c r="D92" s="4795" t="s">
        <v>2497</v>
      </c>
      <c r="E92" s="4795" t="s">
        <v>2498</v>
      </c>
      <c r="F92" s="4795" t="s">
        <v>2499</v>
      </c>
      <c r="G92" s="4795" t="s">
        <v>18</v>
      </c>
      <c r="H92" s="4795" t="s">
        <v>18</v>
      </c>
      <c r="I92" s="4795" t="s">
        <v>597</v>
      </c>
    </row>
    <row customHeight="1" ht="11.25">
      <c r="A93" s="4795" t="s">
        <v>2178</v>
      </c>
      <c r="B93" s="4795" t="s">
        <v>14</v>
      </c>
      <c r="C93" s="4795" t="s">
        <v>2500</v>
      </c>
      <c r="D93" s="4795" t="s">
        <v>2501</v>
      </c>
      <c r="E93" s="4795" t="s">
        <v>2502</v>
      </c>
      <c r="F93" s="4795" t="s">
        <v>2246</v>
      </c>
      <c r="G93" s="4795" t="s">
        <v>18</v>
      </c>
      <c r="H93" s="4795" t="s">
        <v>18</v>
      </c>
      <c r="I93" s="4795" t="s">
        <v>597</v>
      </c>
    </row>
    <row customHeight="1" ht="11.25">
      <c r="A94" s="4795" t="s">
        <v>2178</v>
      </c>
      <c r="B94" s="4795" t="s">
        <v>14</v>
      </c>
      <c r="C94" s="4795" t="s">
        <v>2503</v>
      </c>
      <c r="D94" s="4795" t="s">
        <v>2504</v>
      </c>
      <c r="E94" s="4795" t="s">
        <v>2505</v>
      </c>
      <c r="F94" s="4795" t="s">
        <v>2506</v>
      </c>
      <c r="G94" s="4795" t="s">
        <v>18</v>
      </c>
      <c r="H94" s="4795" t="s">
        <v>18</v>
      </c>
      <c r="I94" s="4795" t="s">
        <v>597</v>
      </c>
    </row>
    <row customHeight="1" ht="11.25">
      <c r="A95" s="4795" t="s">
        <v>2178</v>
      </c>
      <c r="B95" s="4795" t="s">
        <v>14</v>
      </c>
      <c r="C95" s="4795" t="s">
        <v>2507</v>
      </c>
      <c r="D95" s="4795" t="s">
        <v>2508</v>
      </c>
      <c r="E95" s="4795" t="s">
        <v>2509</v>
      </c>
      <c r="F95" s="4795" t="s">
        <v>2229</v>
      </c>
      <c r="G95" s="4795" t="s">
        <v>18</v>
      </c>
      <c r="H95" s="4795" t="s">
        <v>18</v>
      </c>
      <c r="I95" s="4795" t="s">
        <v>597</v>
      </c>
    </row>
    <row customHeight="1" ht="11.25">
      <c r="A96" s="4795" t="s">
        <v>2178</v>
      </c>
      <c r="B96" s="4795" t="s">
        <v>14</v>
      </c>
      <c r="C96" s="4795" t="s">
        <v>2510</v>
      </c>
      <c r="D96" s="4795" t="s">
        <v>2511</v>
      </c>
      <c r="E96" s="4795" t="s">
        <v>2512</v>
      </c>
      <c r="F96" s="4795" t="s">
        <v>2185</v>
      </c>
      <c r="G96" s="4795" t="s">
        <v>18</v>
      </c>
      <c r="H96" s="4795" t="s">
        <v>18</v>
      </c>
      <c r="I96" s="4795" t="s">
        <v>597</v>
      </c>
    </row>
    <row customHeight="1" ht="11.25">
      <c r="A97" s="4795" t="s">
        <v>2178</v>
      </c>
      <c r="B97" s="4795" t="s">
        <v>14</v>
      </c>
      <c r="C97" s="4795" t="s">
        <v>2513</v>
      </c>
      <c r="D97" s="4795" t="s">
        <v>2514</v>
      </c>
      <c r="E97" s="4795" t="s">
        <v>2515</v>
      </c>
      <c r="F97" s="4795" t="s">
        <v>2246</v>
      </c>
      <c r="G97" s="4795" t="s">
        <v>2516</v>
      </c>
      <c r="H97" s="4795" t="s">
        <v>18</v>
      </c>
      <c r="I97" s="4795" t="s">
        <v>597</v>
      </c>
    </row>
    <row customHeight="1" ht="11.25">
      <c r="A98" s="4795" t="s">
        <v>2178</v>
      </c>
      <c r="B98" s="4795" t="s">
        <v>14</v>
      </c>
      <c r="C98" s="4795" t="s">
        <v>2517</v>
      </c>
      <c r="D98" s="4795" t="s">
        <v>2518</v>
      </c>
      <c r="E98" s="4795" t="s">
        <v>2519</v>
      </c>
      <c r="F98" s="4795" t="s">
        <v>2520</v>
      </c>
      <c r="G98" s="4795" t="s">
        <v>18</v>
      </c>
      <c r="H98" s="4795" t="s">
        <v>18</v>
      </c>
      <c r="I98" s="4795" t="s">
        <v>597</v>
      </c>
    </row>
    <row customHeight="1" ht="11.25">
      <c r="A99" s="4795" t="s">
        <v>2178</v>
      </c>
      <c r="B99" s="4795" t="s">
        <v>14</v>
      </c>
      <c r="C99" s="4795" t="s">
        <v>2521</v>
      </c>
      <c r="D99" s="4795" t="s">
        <v>2522</v>
      </c>
      <c r="E99" s="4795" t="s">
        <v>2523</v>
      </c>
      <c r="F99" s="4795" t="s">
        <v>2181</v>
      </c>
      <c r="G99" s="4795" t="s">
        <v>18</v>
      </c>
      <c r="H99" s="4795" t="s">
        <v>18</v>
      </c>
      <c r="I99" s="4795" t="s">
        <v>597</v>
      </c>
    </row>
    <row customHeight="1" ht="11.25">
      <c r="A100" s="4795" t="s">
        <v>2178</v>
      </c>
      <c r="B100" s="4795" t="s">
        <v>14</v>
      </c>
      <c r="C100" s="4795" t="s">
        <v>2524</v>
      </c>
      <c r="D100" s="4795" t="s">
        <v>2525</v>
      </c>
      <c r="E100" s="4795" t="s">
        <v>2526</v>
      </c>
      <c r="F100" s="4795" t="s">
        <v>2193</v>
      </c>
      <c r="G100" s="4795" t="s">
        <v>18</v>
      </c>
      <c r="H100" s="4795" t="s">
        <v>18</v>
      </c>
      <c r="I100" s="4795" t="s">
        <v>597</v>
      </c>
    </row>
    <row customHeight="1" ht="11.25">
      <c r="A101" s="4795" t="s">
        <v>2178</v>
      </c>
      <c r="B101" s="4795" t="s">
        <v>14</v>
      </c>
      <c r="C101" s="4795" t="s">
        <v>2527</v>
      </c>
      <c r="D101" s="4795" t="s">
        <v>2528</v>
      </c>
      <c r="E101" s="4795" t="s">
        <v>2529</v>
      </c>
      <c r="F101" s="4795" t="s">
        <v>2185</v>
      </c>
      <c r="G101" s="4795" t="s">
        <v>18</v>
      </c>
      <c r="H101" s="4795" t="s">
        <v>18</v>
      </c>
      <c r="I101" s="4795" t="s">
        <v>597</v>
      </c>
    </row>
    <row customHeight="1" ht="11.25">
      <c r="A102" s="4795" t="s">
        <v>2178</v>
      </c>
      <c r="B102" s="4795" t="s">
        <v>14</v>
      </c>
      <c r="C102" s="4795" t="s">
        <v>2530</v>
      </c>
      <c r="D102" s="4795" t="s">
        <v>2531</v>
      </c>
      <c r="E102" s="4795" t="s">
        <v>2532</v>
      </c>
      <c r="F102" s="4795" t="s">
        <v>2533</v>
      </c>
      <c r="G102" s="4795" t="s">
        <v>2534</v>
      </c>
      <c r="H102" s="4795" t="s">
        <v>18</v>
      </c>
      <c r="I102" s="4795" t="s">
        <v>597</v>
      </c>
    </row>
    <row customHeight="1" ht="11.25">
      <c r="A103" s="4795" t="s">
        <v>2178</v>
      </c>
      <c r="B103" s="4795" t="s">
        <v>14</v>
      </c>
      <c r="C103" s="4795" t="s">
        <v>2535</v>
      </c>
      <c r="D103" s="4795" t="s">
        <v>2536</v>
      </c>
      <c r="E103" s="4795" t="s">
        <v>2537</v>
      </c>
      <c r="F103" s="4795" t="s">
        <v>2506</v>
      </c>
      <c r="G103" s="4795" t="s">
        <v>2538</v>
      </c>
      <c r="H103" s="4795" t="s">
        <v>18</v>
      </c>
      <c r="I103" s="4795" t="s">
        <v>597</v>
      </c>
    </row>
    <row customHeight="1" ht="11.25">
      <c r="A104" s="4795" t="s">
        <v>2178</v>
      </c>
      <c r="B104" s="4795" t="s">
        <v>14</v>
      </c>
      <c r="C104" s="4795" t="s">
        <v>2539</v>
      </c>
      <c r="D104" s="4795" t="s">
        <v>2540</v>
      </c>
      <c r="E104" s="4795" t="s">
        <v>2541</v>
      </c>
      <c r="F104" s="4795" t="s">
        <v>2229</v>
      </c>
      <c r="G104" s="4795" t="s">
        <v>2542</v>
      </c>
      <c r="H104" s="4795" t="s">
        <v>18</v>
      </c>
      <c r="I104" s="4795" t="s">
        <v>597</v>
      </c>
    </row>
    <row customHeight="1" ht="11.25">
      <c r="A105" s="4795" t="s">
        <v>2178</v>
      </c>
      <c r="B105" s="4795" t="s">
        <v>14</v>
      </c>
      <c r="C105" s="4795" t="s">
        <v>2543</v>
      </c>
      <c r="D105" s="4795" t="s">
        <v>2544</v>
      </c>
      <c r="E105" s="4795" t="s">
        <v>2545</v>
      </c>
      <c r="F105" s="4795" t="s">
        <v>2546</v>
      </c>
      <c r="G105" s="4795" t="s">
        <v>18</v>
      </c>
      <c r="H105" s="4795" t="s">
        <v>18</v>
      </c>
      <c r="I105" s="4795" t="s">
        <v>597</v>
      </c>
    </row>
    <row customHeight="1" ht="11.25">
      <c r="A106" s="4795" t="s">
        <v>2178</v>
      </c>
      <c r="B106" s="4795" t="s">
        <v>14</v>
      </c>
      <c r="C106" s="4795" t="s">
        <v>2547</v>
      </c>
      <c r="D106" s="4795" t="s">
        <v>2548</v>
      </c>
      <c r="E106" s="4795" t="s">
        <v>2549</v>
      </c>
      <c r="F106" s="4795" t="s">
        <v>2181</v>
      </c>
      <c r="G106" s="4795" t="s">
        <v>18</v>
      </c>
      <c r="H106" s="4795" t="s">
        <v>18</v>
      </c>
      <c r="I106" s="4795" t="s">
        <v>597</v>
      </c>
    </row>
    <row customHeight="1" ht="11.25">
      <c r="A107" s="4795" t="s">
        <v>2178</v>
      </c>
      <c r="B107" s="4795" t="s">
        <v>14</v>
      </c>
      <c r="C107" s="4795" t="s">
        <v>2550</v>
      </c>
      <c r="D107" s="4795" t="s">
        <v>2551</v>
      </c>
      <c r="E107" s="4795" t="s">
        <v>2275</v>
      </c>
      <c r="F107" s="4795" t="s">
        <v>2552</v>
      </c>
      <c r="G107" s="4795" t="s">
        <v>18</v>
      </c>
      <c r="H107" s="4795" t="s">
        <v>18</v>
      </c>
      <c r="I107" s="4795" t="s">
        <v>597</v>
      </c>
    </row>
    <row customHeight="1" ht="11.25">
      <c r="A108" s="4795" t="s">
        <v>2178</v>
      </c>
      <c r="B108" s="4795" t="s">
        <v>14</v>
      </c>
      <c r="C108" s="4795" t="s">
        <v>2553</v>
      </c>
      <c r="D108" s="4795" t="s">
        <v>2554</v>
      </c>
      <c r="E108" s="4795" t="s">
        <v>2555</v>
      </c>
      <c r="F108" s="4795" t="s">
        <v>2380</v>
      </c>
      <c r="G108" s="4795" t="s">
        <v>18</v>
      </c>
      <c r="H108" s="4795" t="s">
        <v>18</v>
      </c>
      <c r="I108" s="4795" t="s">
        <v>597</v>
      </c>
    </row>
    <row customHeight="1" ht="11.25">
      <c r="A109" s="4795" t="s">
        <v>2178</v>
      </c>
      <c r="B109" s="4795" t="s">
        <v>14</v>
      </c>
      <c r="C109" s="4795" t="s">
        <v>2556</v>
      </c>
      <c r="D109" s="4795" t="s">
        <v>2557</v>
      </c>
      <c r="E109" s="4795" t="s">
        <v>2558</v>
      </c>
      <c r="F109" s="4795" t="s">
        <v>2559</v>
      </c>
      <c r="G109" s="4795" t="s">
        <v>2560</v>
      </c>
      <c r="H109" s="4795" t="s">
        <v>18</v>
      </c>
      <c r="I109" s="4795" t="s">
        <v>597</v>
      </c>
    </row>
    <row customHeight="1" ht="11.25">
      <c r="A110" s="4795" t="s">
        <v>2178</v>
      </c>
      <c r="B110" s="4795" t="s">
        <v>14</v>
      </c>
      <c r="C110" s="4795" t="s">
        <v>2561</v>
      </c>
      <c r="D110" s="4795" t="s">
        <v>2562</v>
      </c>
      <c r="E110" s="4795" t="s">
        <v>2563</v>
      </c>
      <c r="F110" s="4795" t="s">
        <v>2380</v>
      </c>
      <c r="G110" s="4795" t="s">
        <v>18</v>
      </c>
      <c r="H110" s="4795" t="s">
        <v>18</v>
      </c>
      <c r="I110" s="4795" t="s">
        <v>597</v>
      </c>
    </row>
    <row customHeight="1" ht="11.25">
      <c r="A111" s="4795" t="s">
        <v>2178</v>
      </c>
      <c r="B111" s="4795" t="s">
        <v>14</v>
      </c>
      <c r="C111" s="4795" t="s">
        <v>2564</v>
      </c>
      <c r="D111" s="4795" t="s">
        <v>2565</v>
      </c>
      <c r="E111" s="4795" t="s">
        <v>2566</v>
      </c>
      <c r="F111" s="4795" t="s">
        <v>2322</v>
      </c>
      <c r="G111" s="4795" t="s">
        <v>18</v>
      </c>
      <c r="H111" s="4795" t="s">
        <v>18</v>
      </c>
      <c r="I111" s="4795" t="s">
        <v>597</v>
      </c>
    </row>
    <row customHeight="1" ht="11.25">
      <c r="A112" s="4795" t="s">
        <v>2178</v>
      </c>
      <c r="B112" s="4795" t="s">
        <v>14</v>
      </c>
      <c r="C112" s="4795" t="s">
        <v>2567</v>
      </c>
      <c r="D112" s="4795" t="s">
        <v>2568</v>
      </c>
      <c r="E112" s="4795" t="s">
        <v>2569</v>
      </c>
      <c r="F112" s="4795" t="s">
        <v>2312</v>
      </c>
      <c r="G112" s="4795" t="s">
        <v>18</v>
      </c>
      <c r="H112" s="4795" t="s">
        <v>18</v>
      </c>
      <c r="I112" s="4795" t="s">
        <v>597</v>
      </c>
    </row>
    <row customHeight="1" ht="11.25">
      <c r="A113" s="4795" t="s">
        <v>2178</v>
      </c>
      <c r="B113" s="4795" t="s">
        <v>14</v>
      </c>
      <c r="C113" s="4795" t="s">
        <v>2570</v>
      </c>
      <c r="D113" s="4795" t="s">
        <v>2571</v>
      </c>
      <c r="E113" s="4795" t="s">
        <v>2572</v>
      </c>
      <c r="F113" s="4795" t="s">
        <v>2189</v>
      </c>
      <c r="G113" s="4795" t="s">
        <v>18</v>
      </c>
      <c r="H113" s="4795" t="s">
        <v>18</v>
      </c>
      <c r="I113" s="4795" t="s">
        <v>597</v>
      </c>
    </row>
    <row customHeight="1" ht="11.25">
      <c r="A114" s="4795" t="s">
        <v>2178</v>
      </c>
      <c r="B114" s="4795" t="s">
        <v>14</v>
      </c>
      <c r="C114" s="4795" t="s">
        <v>2573</v>
      </c>
      <c r="D114" s="4795" t="s">
        <v>2574</v>
      </c>
      <c r="E114" s="4795" t="s">
        <v>2575</v>
      </c>
      <c r="F114" s="4795" t="s">
        <v>2576</v>
      </c>
      <c r="G114" s="4795" t="s">
        <v>18</v>
      </c>
      <c r="H114" s="4795" t="s">
        <v>18</v>
      </c>
      <c r="I114" s="4795" t="s">
        <v>597</v>
      </c>
    </row>
    <row customHeight="1" ht="11.25">
      <c r="A115" s="4795" t="s">
        <v>2178</v>
      </c>
      <c r="B115" s="4795" t="s">
        <v>14</v>
      </c>
      <c r="C115" s="4795" t="s">
        <v>2577</v>
      </c>
      <c r="D115" s="4795" t="s">
        <v>2578</v>
      </c>
      <c r="E115" s="4795" t="s">
        <v>2579</v>
      </c>
      <c r="F115" s="4795" t="s">
        <v>2238</v>
      </c>
      <c r="G115" s="4795" t="s">
        <v>18</v>
      </c>
      <c r="H115" s="4795" t="s">
        <v>18</v>
      </c>
      <c r="I115" s="4795" t="s">
        <v>597</v>
      </c>
    </row>
    <row customHeight="1" ht="11.25">
      <c r="A116" s="4795" t="s">
        <v>2178</v>
      </c>
      <c r="B116" s="4795" t="s">
        <v>14</v>
      </c>
      <c r="C116" s="4795" t="s">
        <v>2580</v>
      </c>
      <c r="D116" s="4795" t="s">
        <v>2581</v>
      </c>
      <c r="E116" s="4795" t="s">
        <v>2582</v>
      </c>
      <c r="F116" s="4795" t="s">
        <v>51</v>
      </c>
      <c r="G116" s="4795" t="s">
        <v>18</v>
      </c>
      <c r="H116" s="4795" t="s">
        <v>18</v>
      </c>
      <c r="I116" s="4795" t="s">
        <v>597</v>
      </c>
    </row>
    <row customHeight="1" ht="11.25">
      <c r="A117" s="4795" t="s">
        <v>2178</v>
      </c>
      <c r="B117" s="4795" t="s">
        <v>14</v>
      </c>
      <c r="C117" s="4795" t="s">
        <v>2583</v>
      </c>
      <c r="D117" s="4795" t="s">
        <v>2584</v>
      </c>
      <c r="E117" s="4795" t="s">
        <v>2585</v>
      </c>
      <c r="F117" s="4795" t="s">
        <v>2322</v>
      </c>
      <c r="G117" s="4795" t="s">
        <v>18</v>
      </c>
      <c r="H117" s="4795" t="s">
        <v>18</v>
      </c>
      <c r="I117" s="4795" t="s">
        <v>597</v>
      </c>
    </row>
    <row customHeight="1" ht="11.25">
      <c r="A118" s="4795" t="s">
        <v>2178</v>
      </c>
      <c r="B118" s="4795" t="s">
        <v>14</v>
      </c>
      <c r="C118" s="4795" t="s">
        <v>2586</v>
      </c>
      <c r="D118" s="4795" t="s">
        <v>2587</v>
      </c>
      <c r="E118" s="4795" t="s">
        <v>2588</v>
      </c>
      <c r="F118" s="4795" t="s">
        <v>51</v>
      </c>
      <c r="G118" s="4795" t="s">
        <v>18</v>
      </c>
      <c r="H118" s="4795" t="s">
        <v>18</v>
      </c>
      <c r="I118" s="4795" t="s">
        <v>597</v>
      </c>
    </row>
    <row customHeight="1" ht="11.25">
      <c r="A119" s="4795" t="s">
        <v>2178</v>
      </c>
      <c r="B119" s="4795" t="s">
        <v>14</v>
      </c>
      <c r="C119" s="4795" t="s">
        <v>2589</v>
      </c>
      <c r="D119" s="4795" t="s">
        <v>2590</v>
      </c>
      <c r="E119" s="4795" t="s">
        <v>2591</v>
      </c>
      <c r="F119" s="4795" t="s">
        <v>51</v>
      </c>
      <c r="G119" s="4795" t="s">
        <v>18</v>
      </c>
      <c r="H119" s="4795" t="s">
        <v>18</v>
      </c>
      <c r="I119" s="4795" t="s">
        <v>597</v>
      </c>
    </row>
    <row customHeight="1" ht="11.25">
      <c r="A120" s="4795" t="s">
        <v>2178</v>
      </c>
      <c r="B120" s="4795" t="s">
        <v>14</v>
      </c>
      <c r="C120" s="4795" t="s">
        <v>2592</v>
      </c>
      <c r="D120" s="4795" t="s">
        <v>2593</v>
      </c>
      <c r="E120" s="4795" t="s">
        <v>2594</v>
      </c>
      <c r="F120" s="4795" t="s">
        <v>2380</v>
      </c>
      <c r="G120" s="4795" t="s">
        <v>18</v>
      </c>
      <c r="H120" s="4795" t="s">
        <v>18</v>
      </c>
      <c r="I120" s="4795" t="s">
        <v>597</v>
      </c>
    </row>
    <row customHeight="1" ht="11.25">
      <c r="A121" s="4795" t="s">
        <v>2178</v>
      </c>
      <c r="B121" s="4795" t="s">
        <v>14</v>
      </c>
      <c r="C121" s="4795" t="s">
        <v>2595</v>
      </c>
      <c r="D121" s="4795" t="s">
        <v>2596</v>
      </c>
      <c r="E121" s="4795" t="s">
        <v>2597</v>
      </c>
      <c r="F121" s="4795" t="s">
        <v>2598</v>
      </c>
      <c r="G121" s="4795" t="s">
        <v>18</v>
      </c>
      <c r="H121" s="4795" t="s">
        <v>18</v>
      </c>
      <c r="I121" s="4795" t="s">
        <v>597</v>
      </c>
    </row>
    <row customHeight="1" ht="11.25">
      <c r="A122" s="4795" t="s">
        <v>2178</v>
      </c>
      <c r="B122" s="4795" t="s">
        <v>14</v>
      </c>
      <c r="C122" s="4795" t="s">
        <v>2599</v>
      </c>
      <c r="D122" s="4795" t="s">
        <v>2600</v>
      </c>
      <c r="E122" s="4795" t="s">
        <v>2601</v>
      </c>
      <c r="F122" s="4795" t="s">
        <v>2602</v>
      </c>
      <c r="G122" s="4795" t="s">
        <v>18</v>
      </c>
      <c r="H122" s="4795" t="s">
        <v>18</v>
      </c>
      <c r="I122" s="4795" t="s">
        <v>597</v>
      </c>
    </row>
    <row customHeight="1" ht="11.25">
      <c r="A123" s="4795" t="s">
        <v>2178</v>
      </c>
      <c r="B123" s="4795" t="s">
        <v>14</v>
      </c>
      <c r="C123" s="4795" t="s">
        <v>2603</v>
      </c>
      <c r="D123" s="4795" t="s">
        <v>2604</v>
      </c>
      <c r="E123" s="4795" t="s">
        <v>2605</v>
      </c>
      <c r="F123" s="4795" t="s">
        <v>2210</v>
      </c>
      <c r="G123" s="4795" t="s">
        <v>18</v>
      </c>
      <c r="H123" s="4795" t="s">
        <v>18</v>
      </c>
      <c r="I123" s="4795" t="s">
        <v>597</v>
      </c>
    </row>
    <row customHeight="1" ht="11.25">
      <c r="A124" s="4795" t="s">
        <v>2178</v>
      </c>
      <c r="B124" s="4795" t="s">
        <v>14</v>
      </c>
      <c r="C124" s="4795" t="s">
        <v>2606</v>
      </c>
      <c r="D124" s="4795" t="s">
        <v>2607</v>
      </c>
      <c r="E124" s="4795" t="s">
        <v>2608</v>
      </c>
      <c r="F124" s="4795" t="s">
        <v>2214</v>
      </c>
      <c r="G124" s="4795" t="s">
        <v>18</v>
      </c>
      <c r="H124" s="4795" t="s">
        <v>18</v>
      </c>
      <c r="I124" s="4795" t="s">
        <v>597</v>
      </c>
    </row>
    <row customHeight="1" ht="11.25">
      <c r="A125" s="4795" t="s">
        <v>2178</v>
      </c>
      <c r="B125" s="4795" t="s">
        <v>14</v>
      </c>
      <c r="C125" s="4795" t="s">
        <v>18</v>
      </c>
      <c r="D125" s="4795" t="s">
        <v>2179</v>
      </c>
      <c r="E125" s="4795" t="s">
        <v>2180</v>
      </c>
      <c r="F125" s="4795" t="s">
        <v>2181</v>
      </c>
      <c r="G125" s="4795" t="s">
        <v>18</v>
      </c>
      <c r="H125" s="4795" t="s">
        <v>18</v>
      </c>
      <c r="I125" s="4795" t="s">
        <v>1010</v>
      </c>
    </row>
    <row customHeight="1" ht="11.25">
      <c r="A126" s="4795" t="s">
        <v>2178</v>
      </c>
      <c r="B126" s="4795" t="s">
        <v>14</v>
      </c>
      <c r="C126" s="4795" t="s">
        <v>2190</v>
      </c>
      <c r="D126" s="4795" t="s">
        <v>2191</v>
      </c>
      <c r="E126" s="4795" t="s">
        <v>2192</v>
      </c>
      <c r="F126" s="4795" t="s">
        <v>2193</v>
      </c>
      <c r="G126" s="4795" t="s">
        <v>18</v>
      </c>
      <c r="H126" s="4795" t="s">
        <v>18</v>
      </c>
      <c r="I126" s="4795" t="s">
        <v>1010</v>
      </c>
    </row>
    <row customHeight="1" ht="11.25">
      <c r="A127" s="4795" t="s">
        <v>2178</v>
      </c>
      <c r="B127" s="4795" t="s">
        <v>14</v>
      </c>
      <c r="C127" s="4795" t="s">
        <v>2194</v>
      </c>
      <c r="D127" s="4795" t="s">
        <v>2195</v>
      </c>
      <c r="E127" s="4795" t="s">
        <v>2196</v>
      </c>
      <c r="F127" s="4795" t="s">
        <v>2197</v>
      </c>
      <c r="G127" s="4795" t="s">
        <v>18</v>
      </c>
      <c r="H127" s="4795" t="s">
        <v>18</v>
      </c>
      <c r="I127" s="4795" t="s">
        <v>1010</v>
      </c>
    </row>
    <row customHeight="1" ht="11.25">
      <c r="A128" s="4795" t="s">
        <v>2178</v>
      </c>
      <c r="B128" s="4795" t="s">
        <v>14</v>
      </c>
      <c r="C128" s="4795" t="s">
        <v>2201</v>
      </c>
      <c r="D128" s="4795" t="s">
        <v>2202</v>
      </c>
      <c r="E128" s="4795" t="s">
        <v>2196</v>
      </c>
      <c r="F128" s="4795" t="s">
        <v>2203</v>
      </c>
      <c r="G128" s="4795" t="s">
        <v>18</v>
      </c>
      <c r="H128" s="4795" t="s">
        <v>18</v>
      </c>
      <c r="I128" s="4795" t="s">
        <v>1010</v>
      </c>
    </row>
    <row customHeight="1" ht="11.25">
      <c r="A129" s="4795" t="s">
        <v>2178</v>
      </c>
      <c r="B129" s="4795" t="s">
        <v>14</v>
      </c>
      <c r="C129" s="4795" t="s">
        <v>2204</v>
      </c>
      <c r="D129" s="4795" t="s">
        <v>2205</v>
      </c>
      <c r="E129" s="4795" t="s">
        <v>2196</v>
      </c>
      <c r="F129" s="4795" t="s">
        <v>2206</v>
      </c>
      <c r="G129" s="4795" t="s">
        <v>18</v>
      </c>
      <c r="H129" s="4795" t="s">
        <v>18</v>
      </c>
      <c r="I129" s="4795" t="s">
        <v>1010</v>
      </c>
    </row>
    <row customHeight="1" ht="11.25">
      <c r="A130" s="4795" t="s">
        <v>2178</v>
      </c>
      <c r="B130" s="4795" t="s">
        <v>14</v>
      </c>
      <c r="C130" s="4795" t="s">
        <v>2211</v>
      </c>
      <c r="D130" s="4795" t="s">
        <v>2212</v>
      </c>
      <c r="E130" s="4795" t="s">
        <v>2213</v>
      </c>
      <c r="F130" s="4795" t="s">
        <v>2214</v>
      </c>
      <c r="G130" s="4795" t="s">
        <v>18</v>
      </c>
      <c r="H130" s="4795" t="s">
        <v>18</v>
      </c>
      <c r="I130" s="4795" t="s">
        <v>1010</v>
      </c>
    </row>
    <row customHeight="1" ht="11.25">
      <c r="A131" s="4795" t="s">
        <v>2178</v>
      </c>
      <c r="B131" s="4795" t="s">
        <v>14</v>
      </c>
      <c r="C131" s="4795" t="s">
        <v>2218</v>
      </c>
      <c r="D131" s="4795" t="s">
        <v>2219</v>
      </c>
      <c r="E131" s="4795" t="s">
        <v>2220</v>
      </c>
      <c r="F131" s="4795" t="s">
        <v>2221</v>
      </c>
      <c r="G131" s="4795" t="s">
        <v>2222</v>
      </c>
      <c r="H131" s="4795" t="s">
        <v>18</v>
      </c>
      <c r="I131" s="4795" t="s">
        <v>1010</v>
      </c>
    </row>
    <row customHeight="1" ht="11.25">
      <c r="A132" s="4795" t="s">
        <v>2178</v>
      </c>
      <c r="B132" s="4795" t="s">
        <v>14</v>
      </c>
      <c r="C132" s="4795" t="s">
        <v>2235</v>
      </c>
      <c r="D132" s="4795" t="s">
        <v>2236</v>
      </c>
      <c r="E132" s="4795" t="s">
        <v>2237</v>
      </c>
      <c r="F132" s="4795" t="s">
        <v>2238</v>
      </c>
      <c r="G132" s="4795" t="s">
        <v>2239</v>
      </c>
      <c r="H132" s="4795" t="s">
        <v>18</v>
      </c>
      <c r="I132" s="4795" t="s">
        <v>1010</v>
      </c>
    </row>
    <row customHeight="1" ht="11.25">
      <c r="A133" s="4795" t="s">
        <v>2178</v>
      </c>
      <c r="B133" s="4795" t="s">
        <v>14</v>
      </c>
      <c r="C133" s="4795" t="s">
        <v>2240</v>
      </c>
      <c r="D133" s="4795" t="s">
        <v>2241</v>
      </c>
      <c r="E133" s="4795" t="s">
        <v>2242</v>
      </c>
      <c r="F133" s="4795" t="s">
        <v>2210</v>
      </c>
      <c r="G133" s="4795" t="s">
        <v>18</v>
      </c>
      <c r="H133" s="4795" t="s">
        <v>18</v>
      </c>
      <c r="I133" s="4795" t="s">
        <v>1010</v>
      </c>
    </row>
    <row customHeight="1" ht="11.25">
      <c r="A134" s="4795" t="s">
        <v>2178</v>
      </c>
      <c r="B134" s="4795" t="s">
        <v>14</v>
      </c>
      <c r="C134" s="4795" t="s">
        <v>2247</v>
      </c>
      <c r="D134" s="4795" t="s">
        <v>2248</v>
      </c>
      <c r="E134" s="4795" t="s">
        <v>2249</v>
      </c>
      <c r="F134" s="4795" t="s">
        <v>51</v>
      </c>
      <c r="G134" s="4795" t="s">
        <v>2250</v>
      </c>
      <c r="H134" s="4795" t="s">
        <v>18</v>
      </c>
      <c r="I134" s="4795" t="s">
        <v>1010</v>
      </c>
    </row>
    <row customHeight="1" ht="11.25">
      <c r="A135" s="4795" t="s">
        <v>2178</v>
      </c>
      <c r="B135" s="4795" t="s">
        <v>14</v>
      </c>
      <c r="C135" s="4795" t="s">
        <v>2259</v>
      </c>
      <c r="D135" s="4795" t="s">
        <v>2260</v>
      </c>
      <c r="E135" s="4795" t="s">
        <v>2261</v>
      </c>
      <c r="F135" s="4795" t="s">
        <v>2262</v>
      </c>
      <c r="G135" s="4795" t="s">
        <v>18</v>
      </c>
      <c r="H135" s="4795" t="s">
        <v>18</v>
      </c>
      <c r="I135" s="4795" t="s">
        <v>1010</v>
      </c>
    </row>
    <row customHeight="1" ht="11.25">
      <c r="A136" s="4795" t="s">
        <v>2178</v>
      </c>
      <c r="B136" s="4795" t="s">
        <v>14</v>
      </c>
      <c r="C136" s="4795" t="s">
        <v>2277</v>
      </c>
      <c r="D136" s="4795" t="s">
        <v>2278</v>
      </c>
      <c r="E136" s="4795" t="s">
        <v>2275</v>
      </c>
      <c r="F136" s="4795" t="s">
        <v>2279</v>
      </c>
      <c r="G136" s="4795" t="s">
        <v>18</v>
      </c>
      <c r="H136" s="4795" t="s">
        <v>18</v>
      </c>
      <c r="I136" s="4795" t="s">
        <v>1010</v>
      </c>
    </row>
    <row customHeight="1" ht="11.25">
      <c r="A137" s="4795" t="s">
        <v>2178</v>
      </c>
      <c r="B137" s="4795" t="s">
        <v>14</v>
      </c>
      <c r="C137" s="4795" t="s">
        <v>2609</v>
      </c>
      <c r="D137" s="4795" t="s">
        <v>2324</v>
      </c>
      <c r="E137" s="4795" t="s">
        <v>2325</v>
      </c>
      <c r="F137" s="4795" t="s">
        <v>2610</v>
      </c>
      <c r="G137" s="4795" t="s">
        <v>18</v>
      </c>
      <c r="H137" s="4795" t="s">
        <v>18</v>
      </c>
      <c r="I137" s="4795" t="s">
        <v>1010</v>
      </c>
    </row>
    <row customHeight="1" ht="11.25">
      <c r="A138" s="4795" t="s">
        <v>2178</v>
      </c>
      <c r="B138" s="4795" t="s">
        <v>14</v>
      </c>
      <c r="C138" s="4795" t="s">
        <v>2611</v>
      </c>
      <c r="D138" s="4795" t="s">
        <v>2324</v>
      </c>
      <c r="E138" s="4795" t="s">
        <v>2325</v>
      </c>
      <c r="F138" s="4795" t="s">
        <v>2612</v>
      </c>
      <c r="G138" s="4795" t="s">
        <v>18</v>
      </c>
      <c r="H138" s="4795" t="s">
        <v>18</v>
      </c>
      <c r="I138" s="4795" t="s">
        <v>1010</v>
      </c>
    </row>
    <row customHeight="1" ht="11.25">
      <c r="A139" s="4795" t="s">
        <v>2178</v>
      </c>
      <c r="B139" s="4795" t="s">
        <v>14</v>
      </c>
      <c r="C139" s="4795" t="s">
        <v>2613</v>
      </c>
      <c r="D139" s="4795" t="s">
        <v>2324</v>
      </c>
      <c r="E139" s="4795" t="s">
        <v>2325</v>
      </c>
      <c r="F139" s="4795" t="s">
        <v>2614</v>
      </c>
      <c r="G139" s="4795" t="s">
        <v>18</v>
      </c>
      <c r="H139" s="4795" t="s">
        <v>18</v>
      </c>
      <c r="I139" s="4795" t="s">
        <v>1010</v>
      </c>
    </row>
    <row customHeight="1" ht="11.25">
      <c r="A140" s="4795" t="s">
        <v>2178</v>
      </c>
      <c r="B140" s="4795" t="s">
        <v>14</v>
      </c>
      <c r="C140" s="4795" t="s">
        <v>2615</v>
      </c>
      <c r="D140" s="4795" t="s">
        <v>2324</v>
      </c>
      <c r="E140" s="4795" t="s">
        <v>2325</v>
      </c>
      <c r="F140" s="4795" t="s">
        <v>2616</v>
      </c>
      <c r="G140" s="4795" t="s">
        <v>18</v>
      </c>
      <c r="H140" s="4795" t="s">
        <v>18</v>
      </c>
      <c r="I140" s="4795" t="s">
        <v>1010</v>
      </c>
    </row>
    <row customHeight="1" ht="11.25">
      <c r="A141" s="4795" t="s">
        <v>2178</v>
      </c>
      <c r="B141" s="4795" t="s">
        <v>14</v>
      </c>
      <c r="C141" s="4795" t="s">
        <v>2617</v>
      </c>
      <c r="D141" s="4795" t="s">
        <v>2324</v>
      </c>
      <c r="E141" s="4795" t="s">
        <v>2325</v>
      </c>
      <c r="F141" s="4795" t="s">
        <v>2618</v>
      </c>
      <c r="G141" s="4795" t="s">
        <v>18</v>
      </c>
      <c r="H141" s="4795" t="s">
        <v>18</v>
      </c>
      <c r="I141" s="4795" t="s">
        <v>1010</v>
      </c>
    </row>
    <row customHeight="1" ht="11.25">
      <c r="A142" s="4795" t="s">
        <v>2178</v>
      </c>
      <c r="B142" s="4795" t="s">
        <v>14</v>
      </c>
      <c r="C142" s="4795" t="s">
        <v>2619</v>
      </c>
      <c r="D142" s="4795" t="s">
        <v>2324</v>
      </c>
      <c r="E142" s="4795" t="s">
        <v>2325</v>
      </c>
      <c r="F142" s="4795" t="s">
        <v>2620</v>
      </c>
      <c r="G142" s="4795" t="s">
        <v>18</v>
      </c>
      <c r="H142" s="4795" t="s">
        <v>18</v>
      </c>
      <c r="I142" s="4795" t="s">
        <v>1010</v>
      </c>
    </row>
    <row customHeight="1" ht="11.25">
      <c r="A143" s="4795" t="s">
        <v>2178</v>
      </c>
      <c r="B143" s="4795" t="s">
        <v>14</v>
      </c>
      <c r="C143" s="4795" t="s">
        <v>2621</v>
      </c>
      <c r="D143" s="4795" t="s">
        <v>2324</v>
      </c>
      <c r="E143" s="4795" t="s">
        <v>2325</v>
      </c>
      <c r="F143" s="4795" t="s">
        <v>2622</v>
      </c>
      <c r="G143" s="4795" t="s">
        <v>18</v>
      </c>
      <c r="H143" s="4795" t="s">
        <v>18</v>
      </c>
      <c r="I143" s="4795" t="s">
        <v>1010</v>
      </c>
    </row>
    <row customHeight="1" ht="11.25">
      <c r="A144" s="4795" t="s">
        <v>2178</v>
      </c>
      <c r="B144" s="4795" t="s">
        <v>14</v>
      </c>
      <c r="C144" s="4795" t="s">
        <v>2623</v>
      </c>
      <c r="D144" s="4795" t="s">
        <v>2324</v>
      </c>
      <c r="E144" s="4795" t="s">
        <v>2325</v>
      </c>
      <c r="F144" s="4795" t="s">
        <v>2624</v>
      </c>
      <c r="G144" s="4795" t="s">
        <v>18</v>
      </c>
      <c r="H144" s="4795" t="s">
        <v>18</v>
      </c>
      <c r="I144" s="4795" t="s">
        <v>1010</v>
      </c>
    </row>
    <row customHeight="1" ht="11.25">
      <c r="A145" s="4795" t="s">
        <v>2178</v>
      </c>
      <c r="B145" s="4795" t="s">
        <v>14</v>
      </c>
      <c r="C145" s="4795" t="s">
        <v>2323</v>
      </c>
      <c r="D145" s="4795" t="s">
        <v>2324</v>
      </c>
      <c r="E145" s="4795" t="s">
        <v>2325</v>
      </c>
      <c r="F145" s="4795" t="s">
        <v>2322</v>
      </c>
      <c r="G145" s="4795" t="s">
        <v>18</v>
      </c>
      <c r="H145" s="4795" t="s">
        <v>18</v>
      </c>
      <c r="I145" s="4795" t="s">
        <v>1010</v>
      </c>
    </row>
    <row customHeight="1" ht="11.25">
      <c r="A146" s="4795" t="s">
        <v>2178</v>
      </c>
      <c r="B146" s="4795" t="s">
        <v>14</v>
      </c>
      <c r="C146" s="4795" t="s">
        <v>2625</v>
      </c>
      <c r="D146" s="4795" t="s">
        <v>2626</v>
      </c>
      <c r="E146" s="4795" t="s">
        <v>2325</v>
      </c>
      <c r="F146" s="4795" t="s">
        <v>2627</v>
      </c>
      <c r="G146" s="4795" t="s">
        <v>18</v>
      </c>
      <c r="H146" s="4795" t="s">
        <v>18</v>
      </c>
      <c r="I146" s="4795" t="s">
        <v>1010</v>
      </c>
    </row>
    <row customHeight="1" ht="11.25">
      <c r="A147" s="4795" t="s">
        <v>2178</v>
      </c>
      <c r="B147" s="4795" t="s">
        <v>14</v>
      </c>
      <c r="C147" s="4795" t="s">
        <v>2334</v>
      </c>
      <c r="D147" s="4795" t="s">
        <v>2335</v>
      </c>
      <c r="E147" s="4795" t="s">
        <v>2336</v>
      </c>
      <c r="F147" s="4795" t="s">
        <v>2210</v>
      </c>
      <c r="G147" s="4795" t="s">
        <v>18</v>
      </c>
      <c r="H147" s="4795" t="s">
        <v>18</v>
      </c>
      <c r="I147" s="4795" t="s">
        <v>1010</v>
      </c>
    </row>
    <row customHeight="1" ht="11.25">
      <c r="A148" s="4795" t="s">
        <v>2178</v>
      </c>
      <c r="B148" s="4795" t="s">
        <v>14</v>
      </c>
      <c r="C148" s="4795" t="s">
        <v>2341</v>
      </c>
      <c r="D148" s="4795" t="s">
        <v>2342</v>
      </c>
      <c r="E148" s="4795" t="s">
        <v>2343</v>
      </c>
      <c r="F148" s="4795" t="s">
        <v>2344</v>
      </c>
      <c r="G148" s="4795" t="s">
        <v>18</v>
      </c>
      <c r="H148" s="4795" t="s">
        <v>18</v>
      </c>
      <c r="I148" s="4795" t="s">
        <v>1010</v>
      </c>
    </row>
    <row customHeight="1" ht="11.25">
      <c r="A149" s="4795" t="s">
        <v>2178</v>
      </c>
      <c r="B149" s="4795" t="s">
        <v>14</v>
      </c>
      <c r="C149" s="4795" t="s">
        <v>2360</v>
      </c>
      <c r="D149" s="4795" t="s">
        <v>2361</v>
      </c>
      <c r="E149" s="4795" t="s">
        <v>2362</v>
      </c>
      <c r="F149" s="4795" t="s">
        <v>2322</v>
      </c>
      <c r="G149" s="4795" t="s">
        <v>18</v>
      </c>
      <c r="H149" s="4795" t="s">
        <v>18</v>
      </c>
      <c r="I149" s="4795" t="s">
        <v>1010</v>
      </c>
    </row>
    <row customHeight="1" ht="11.25">
      <c r="A150" s="4795" t="s">
        <v>2178</v>
      </c>
      <c r="B150" s="4795" t="s">
        <v>14</v>
      </c>
      <c r="C150" s="4795" t="s">
        <v>2387</v>
      </c>
      <c r="D150" s="4795" t="s">
        <v>2388</v>
      </c>
      <c r="E150" s="4795" t="s">
        <v>2389</v>
      </c>
      <c r="F150" s="4795" t="s">
        <v>51</v>
      </c>
      <c r="G150" s="4795" t="s">
        <v>18</v>
      </c>
      <c r="H150" s="4795" t="s">
        <v>18</v>
      </c>
      <c r="I150" s="4795" t="s">
        <v>1010</v>
      </c>
    </row>
    <row customHeight="1" ht="11.25">
      <c r="A151" s="4795" t="s">
        <v>2178</v>
      </c>
      <c r="B151" s="4795" t="s">
        <v>14</v>
      </c>
      <c r="C151" s="4795" t="s">
        <v>2390</v>
      </c>
      <c r="D151" s="4795" t="s">
        <v>2391</v>
      </c>
      <c r="E151" s="4795" t="s">
        <v>2275</v>
      </c>
      <c r="F151" s="4795" t="s">
        <v>2392</v>
      </c>
      <c r="G151" s="4795" t="s">
        <v>18</v>
      </c>
      <c r="H151" s="4795" t="s">
        <v>18</v>
      </c>
      <c r="I151" s="4795" t="s">
        <v>1010</v>
      </c>
    </row>
    <row customHeight="1" ht="11.25">
      <c r="A152" s="4795" t="s">
        <v>2178</v>
      </c>
      <c r="B152" s="4795" t="s">
        <v>14</v>
      </c>
      <c r="C152" s="4795" t="s">
        <v>2438</v>
      </c>
      <c r="D152" s="4795" t="s">
        <v>2439</v>
      </c>
      <c r="E152" s="4795" t="s">
        <v>2440</v>
      </c>
      <c r="F152" s="4795" t="s">
        <v>2441</v>
      </c>
      <c r="G152" s="4795" t="s">
        <v>2442</v>
      </c>
      <c r="H152" s="4795" t="s">
        <v>18</v>
      </c>
      <c r="I152" s="4795" t="s">
        <v>1010</v>
      </c>
    </row>
    <row customHeight="1" ht="11.25">
      <c r="A153" s="4795" t="s">
        <v>2178</v>
      </c>
      <c r="B153" s="4795" t="s">
        <v>14</v>
      </c>
      <c r="C153" s="4795" t="s">
        <v>2449</v>
      </c>
      <c r="D153" s="4795" t="s">
        <v>2450</v>
      </c>
      <c r="E153" s="4795" t="s">
        <v>2451</v>
      </c>
      <c r="F153" s="4795" t="s">
        <v>2452</v>
      </c>
      <c r="G153" s="4795" t="s">
        <v>18</v>
      </c>
      <c r="H153" s="4795" t="s">
        <v>18</v>
      </c>
      <c r="I153" s="4795" t="s">
        <v>1010</v>
      </c>
    </row>
    <row customHeight="1" ht="11.25">
      <c r="A154" s="4795" t="s">
        <v>2178</v>
      </c>
      <c r="B154" s="4795" t="s">
        <v>14</v>
      </c>
      <c r="C154" s="4795" t="s">
        <v>2496</v>
      </c>
      <c r="D154" s="4795" t="s">
        <v>2497</v>
      </c>
      <c r="E154" s="4795" t="s">
        <v>2498</v>
      </c>
      <c r="F154" s="4795" t="s">
        <v>2499</v>
      </c>
      <c r="G154" s="4795" t="s">
        <v>18</v>
      </c>
      <c r="H154" s="4795" t="s">
        <v>18</v>
      </c>
      <c r="I154" s="4795" t="s">
        <v>1010</v>
      </c>
    </row>
    <row customHeight="1" ht="11.25">
      <c r="A155" s="4795" t="s">
        <v>2178</v>
      </c>
      <c r="B155" s="4795" t="s">
        <v>14</v>
      </c>
      <c r="C155" s="4795" t="s">
        <v>2547</v>
      </c>
      <c r="D155" s="4795" t="s">
        <v>2548</v>
      </c>
      <c r="E155" s="4795" t="s">
        <v>2549</v>
      </c>
      <c r="F155" s="4795" t="s">
        <v>2181</v>
      </c>
      <c r="G155" s="4795" t="s">
        <v>18</v>
      </c>
      <c r="H155" s="4795" t="s">
        <v>18</v>
      </c>
      <c r="I155" s="4795" t="s">
        <v>1010</v>
      </c>
    </row>
    <row customHeight="1" ht="11.25">
      <c r="A156" s="4795" t="s">
        <v>2178</v>
      </c>
      <c r="B156" s="4795" t="s">
        <v>14</v>
      </c>
      <c r="C156" s="4795" t="s">
        <v>2553</v>
      </c>
      <c r="D156" s="4795" t="s">
        <v>2554</v>
      </c>
      <c r="E156" s="4795" t="s">
        <v>2555</v>
      </c>
      <c r="F156" s="4795" t="s">
        <v>2380</v>
      </c>
      <c r="G156" s="4795" t="s">
        <v>18</v>
      </c>
      <c r="H156" s="4795" t="s">
        <v>18</v>
      </c>
      <c r="I156" s="4795" t="s">
        <v>1010</v>
      </c>
    </row>
    <row customHeight="1" ht="11.25">
      <c r="A157" s="4795" t="s">
        <v>2178</v>
      </c>
      <c r="B157" s="4795" t="s">
        <v>14</v>
      </c>
      <c r="C157" s="4795" t="s">
        <v>2556</v>
      </c>
      <c r="D157" s="4795" t="s">
        <v>2557</v>
      </c>
      <c r="E157" s="4795" t="s">
        <v>2558</v>
      </c>
      <c r="F157" s="4795" t="s">
        <v>2559</v>
      </c>
      <c r="G157" s="4795" t="s">
        <v>2560</v>
      </c>
      <c r="H157" s="4795" t="s">
        <v>18</v>
      </c>
      <c r="I157" s="4795" t="s">
        <v>1010</v>
      </c>
    </row>
    <row customHeight="1" ht="11.25">
      <c r="A158" s="4795" t="s">
        <v>2178</v>
      </c>
      <c r="B158" s="4795" t="s">
        <v>14</v>
      </c>
      <c r="C158" s="4795" t="s">
        <v>2592</v>
      </c>
      <c r="D158" s="4795" t="s">
        <v>2593</v>
      </c>
      <c r="E158" s="4795" t="s">
        <v>2594</v>
      </c>
      <c r="F158" s="4795" t="s">
        <v>2380</v>
      </c>
      <c r="G158" s="4795" t="s">
        <v>18</v>
      </c>
      <c r="H158" s="4795" t="s">
        <v>18</v>
      </c>
      <c r="I158" s="4795" t="s">
        <v>1010</v>
      </c>
    </row>
    <row customHeight="1" ht="11.25">
      <c r="A159" s="4795" t="s">
        <v>2178</v>
      </c>
      <c r="B159" s="4795" t="s">
        <v>14</v>
      </c>
      <c r="C159" s="4795" t="s">
        <v>2603</v>
      </c>
      <c r="D159" s="4795" t="s">
        <v>2604</v>
      </c>
      <c r="E159" s="4795" t="s">
        <v>2605</v>
      </c>
      <c r="F159" s="4795" t="s">
        <v>2210</v>
      </c>
      <c r="G159" s="4795" t="s">
        <v>18</v>
      </c>
      <c r="H159" s="4795" t="s">
        <v>18</v>
      </c>
      <c r="I159" s="4795" t="s">
        <v>1010</v>
      </c>
    </row>
    <row customHeight="1" ht="11.25">
      <c r="A160" s="4795" t="s">
        <v>2178</v>
      </c>
      <c r="B160" s="4795" t="s">
        <v>14</v>
      </c>
      <c r="C160" s="4795" t="s">
        <v>18</v>
      </c>
      <c r="D160" s="4795" t="s">
        <v>2179</v>
      </c>
      <c r="E160" s="4795" t="s">
        <v>2180</v>
      </c>
      <c r="F160" s="4795" t="s">
        <v>2181</v>
      </c>
      <c r="G160" s="4795" t="s">
        <v>18</v>
      </c>
      <c r="H160" s="4795" t="s">
        <v>18</v>
      </c>
      <c r="I160" s="4795" t="s">
        <v>995</v>
      </c>
    </row>
    <row customHeight="1" ht="11.25">
      <c r="A161" s="4795" t="s">
        <v>2178</v>
      </c>
      <c r="B161" s="4795" t="s">
        <v>14</v>
      </c>
      <c r="C161" s="4795" t="s">
        <v>2182</v>
      </c>
      <c r="D161" s="4795" t="s">
        <v>2183</v>
      </c>
      <c r="E161" s="4795" t="s">
        <v>2184</v>
      </c>
      <c r="F161" s="4795" t="s">
        <v>2185</v>
      </c>
      <c r="G161" s="4795" t="s">
        <v>18</v>
      </c>
      <c r="H161" s="4795" t="s">
        <v>18</v>
      </c>
      <c r="I161" s="4795" t="s">
        <v>995</v>
      </c>
    </row>
    <row customHeight="1" ht="11.25">
      <c r="A162" s="4795" t="s">
        <v>2178</v>
      </c>
      <c r="B162" s="4795" t="s">
        <v>14</v>
      </c>
      <c r="C162" s="4795" t="s">
        <v>2190</v>
      </c>
      <c r="D162" s="4795" t="s">
        <v>2191</v>
      </c>
      <c r="E162" s="4795" t="s">
        <v>2192</v>
      </c>
      <c r="F162" s="4795" t="s">
        <v>2193</v>
      </c>
      <c r="G162" s="4795" t="s">
        <v>18</v>
      </c>
      <c r="H162" s="4795" t="s">
        <v>18</v>
      </c>
      <c r="I162" s="4795" t="s">
        <v>995</v>
      </c>
    </row>
    <row customHeight="1" ht="11.25">
      <c r="A163" s="4795" t="s">
        <v>2178</v>
      </c>
      <c r="B163" s="4795" t="s">
        <v>14</v>
      </c>
      <c r="C163" s="4795" t="s">
        <v>2194</v>
      </c>
      <c r="D163" s="4795" t="s">
        <v>2195</v>
      </c>
      <c r="E163" s="4795" t="s">
        <v>2196</v>
      </c>
      <c r="F163" s="4795" t="s">
        <v>2197</v>
      </c>
      <c r="G163" s="4795" t="s">
        <v>18</v>
      </c>
      <c r="H163" s="4795" t="s">
        <v>18</v>
      </c>
      <c r="I163" s="4795" t="s">
        <v>995</v>
      </c>
    </row>
    <row customHeight="1" ht="11.25">
      <c r="A164" s="4795" t="s">
        <v>2178</v>
      </c>
      <c r="B164" s="4795" t="s">
        <v>14</v>
      </c>
      <c r="C164" s="4795" t="s">
        <v>2198</v>
      </c>
      <c r="D164" s="4795" t="s">
        <v>2195</v>
      </c>
      <c r="E164" s="4795" t="s">
        <v>2196</v>
      </c>
      <c r="F164" s="4795" t="s">
        <v>2199</v>
      </c>
      <c r="G164" s="4795" t="s">
        <v>2200</v>
      </c>
      <c r="H164" s="4795" t="s">
        <v>18</v>
      </c>
      <c r="I164" s="4795" t="s">
        <v>995</v>
      </c>
    </row>
    <row customHeight="1" ht="11.25">
      <c r="A165" s="4795" t="s">
        <v>2178</v>
      </c>
      <c r="B165" s="4795" t="s">
        <v>14</v>
      </c>
      <c r="C165" s="4795" t="s">
        <v>2204</v>
      </c>
      <c r="D165" s="4795" t="s">
        <v>2205</v>
      </c>
      <c r="E165" s="4795" t="s">
        <v>2196</v>
      </c>
      <c r="F165" s="4795" t="s">
        <v>2206</v>
      </c>
      <c r="G165" s="4795" t="s">
        <v>18</v>
      </c>
      <c r="H165" s="4795" t="s">
        <v>18</v>
      </c>
      <c r="I165" s="4795" t="s">
        <v>995</v>
      </c>
    </row>
    <row customHeight="1" ht="11.25">
      <c r="A166" s="4795" t="s">
        <v>2178</v>
      </c>
      <c r="B166" s="4795" t="s">
        <v>14</v>
      </c>
      <c r="C166" s="4795" t="s">
        <v>2207</v>
      </c>
      <c r="D166" s="4795" t="s">
        <v>2208</v>
      </c>
      <c r="E166" s="4795" t="s">
        <v>2209</v>
      </c>
      <c r="F166" s="4795" t="s">
        <v>2210</v>
      </c>
      <c r="G166" s="4795" t="s">
        <v>18</v>
      </c>
      <c r="H166" s="4795" t="s">
        <v>18</v>
      </c>
      <c r="I166" s="4795" t="s">
        <v>995</v>
      </c>
    </row>
    <row customHeight="1" ht="11.25">
      <c r="A167" s="4795" t="s">
        <v>2178</v>
      </c>
      <c r="B167" s="4795" t="s">
        <v>14</v>
      </c>
      <c r="C167" s="4795" t="s">
        <v>2215</v>
      </c>
      <c r="D167" s="4795" t="s">
        <v>2216</v>
      </c>
      <c r="E167" s="4795" t="s">
        <v>2217</v>
      </c>
      <c r="F167" s="4795" t="s">
        <v>51</v>
      </c>
      <c r="G167" s="4795" t="s">
        <v>18</v>
      </c>
      <c r="H167" s="4795" t="s">
        <v>18</v>
      </c>
      <c r="I167" s="4795" t="s">
        <v>995</v>
      </c>
    </row>
    <row customHeight="1" ht="11.25">
      <c r="A168" s="4795" t="s">
        <v>2178</v>
      </c>
      <c r="B168" s="4795" t="s">
        <v>14</v>
      </c>
      <c r="C168" s="4795" t="s">
        <v>2628</v>
      </c>
      <c r="D168" s="4795" t="s">
        <v>2629</v>
      </c>
      <c r="E168" s="4795" t="s">
        <v>2630</v>
      </c>
      <c r="F168" s="4795" t="s">
        <v>2424</v>
      </c>
      <c r="G168" s="4795" t="s">
        <v>2631</v>
      </c>
      <c r="H168" s="4795" t="s">
        <v>18</v>
      </c>
      <c r="I168" s="4795" t="s">
        <v>995</v>
      </c>
    </row>
    <row customHeight="1" ht="11.25">
      <c r="A169" s="4795" t="s">
        <v>2178</v>
      </c>
      <c r="B169" s="4795" t="s">
        <v>14</v>
      </c>
      <c r="C169" s="4795" t="s">
        <v>2223</v>
      </c>
      <c r="D169" s="4795" t="s">
        <v>2224</v>
      </c>
      <c r="E169" s="4795" t="s">
        <v>2225</v>
      </c>
      <c r="F169" s="4795" t="s">
        <v>2189</v>
      </c>
      <c r="G169" s="4795" t="s">
        <v>18</v>
      </c>
      <c r="H169" s="4795" t="s">
        <v>18</v>
      </c>
      <c r="I169" s="4795" t="s">
        <v>995</v>
      </c>
    </row>
    <row customHeight="1" ht="11.25">
      <c r="A170" s="4795" t="s">
        <v>2178</v>
      </c>
      <c r="B170" s="4795" t="s">
        <v>14</v>
      </c>
      <c r="C170" s="4795" t="s">
        <v>2632</v>
      </c>
      <c r="D170" s="4795" t="s">
        <v>2633</v>
      </c>
      <c r="E170" s="4795" t="s">
        <v>2634</v>
      </c>
      <c r="F170" s="4795" t="s">
        <v>2210</v>
      </c>
      <c r="G170" s="4795" t="s">
        <v>2635</v>
      </c>
      <c r="H170" s="4795" t="s">
        <v>18</v>
      </c>
      <c r="I170" s="4795" t="s">
        <v>995</v>
      </c>
    </row>
    <row customHeight="1" ht="11.25">
      <c r="A171" s="4795" t="s">
        <v>2178</v>
      </c>
      <c r="B171" s="4795" t="s">
        <v>14</v>
      </c>
      <c r="C171" s="4795" t="s">
        <v>2235</v>
      </c>
      <c r="D171" s="4795" t="s">
        <v>2236</v>
      </c>
      <c r="E171" s="4795" t="s">
        <v>2237</v>
      </c>
      <c r="F171" s="4795" t="s">
        <v>2238</v>
      </c>
      <c r="G171" s="4795" t="s">
        <v>2239</v>
      </c>
      <c r="H171" s="4795" t="s">
        <v>18</v>
      </c>
      <c r="I171" s="4795" t="s">
        <v>995</v>
      </c>
    </row>
    <row customHeight="1" ht="11.25">
      <c r="A172" s="4795" t="s">
        <v>2178</v>
      </c>
      <c r="B172" s="4795" t="s">
        <v>14</v>
      </c>
      <c r="C172" s="4795" t="s">
        <v>2636</v>
      </c>
      <c r="D172" s="4795" t="s">
        <v>2637</v>
      </c>
      <c r="E172" s="4795" t="s">
        <v>2638</v>
      </c>
      <c r="F172" s="4795" t="s">
        <v>2189</v>
      </c>
      <c r="G172" s="4795" t="s">
        <v>18</v>
      </c>
      <c r="H172" s="4795" t="s">
        <v>18</v>
      </c>
      <c r="I172" s="4795" t="s">
        <v>995</v>
      </c>
    </row>
    <row customHeight="1" ht="11.25">
      <c r="A173" s="4795" t="s">
        <v>2178</v>
      </c>
      <c r="B173" s="4795" t="s">
        <v>14</v>
      </c>
      <c r="C173" s="4795" t="s">
        <v>2243</v>
      </c>
      <c r="D173" s="4795" t="s">
        <v>2244</v>
      </c>
      <c r="E173" s="4795" t="s">
        <v>2245</v>
      </c>
      <c r="F173" s="4795" t="s">
        <v>2246</v>
      </c>
      <c r="G173" s="4795" t="s">
        <v>18</v>
      </c>
      <c r="H173" s="4795" t="s">
        <v>18</v>
      </c>
      <c r="I173" s="4795" t="s">
        <v>995</v>
      </c>
    </row>
    <row customHeight="1" ht="11.25">
      <c r="A174" s="4795" t="s">
        <v>2178</v>
      </c>
      <c r="B174" s="4795" t="s">
        <v>14</v>
      </c>
      <c r="C174" s="4795" t="s">
        <v>2639</v>
      </c>
      <c r="D174" s="4795" t="s">
        <v>2640</v>
      </c>
      <c r="E174" s="4795" t="s">
        <v>2641</v>
      </c>
      <c r="F174" s="4795" t="s">
        <v>2602</v>
      </c>
      <c r="G174" s="4795" t="s">
        <v>2642</v>
      </c>
      <c r="H174" s="4795" t="s">
        <v>18</v>
      </c>
      <c r="I174" s="4795" t="s">
        <v>995</v>
      </c>
    </row>
    <row customHeight="1" ht="11.25">
      <c r="A175" s="4795" t="s">
        <v>2178</v>
      </c>
      <c r="B175" s="4795" t="s">
        <v>14</v>
      </c>
      <c r="C175" s="4795" t="s">
        <v>2255</v>
      </c>
      <c r="D175" s="4795" t="s">
        <v>2256</v>
      </c>
      <c r="E175" s="4795" t="s">
        <v>2257</v>
      </c>
      <c r="F175" s="4795" t="s">
        <v>2181</v>
      </c>
      <c r="G175" s="4795" t="s">
        <v>2258</v>
      </c>
      <c r="H175" s="4795" t="s">
        <v>18</v>
      </c>
      <c r="I175" s="4795" t="s">
        <v>995</v>
      </c>
    </row>
    <row customHeight="1" ht="11.25">
      <c r="A176" s="4795" t="s">
        <v>2178</v>
      </c>
      <c r="B176" s="4795" t="s">
        <v>14</v>
      </c>
      <c r="C176" s="4795" t="s">
        <v>2643</v>
      </c>
      <c r="D176" s="4795" t="s">
        <v>2644</v>
      </c>
      <c r="E176" s="4795" t="s">
        <v>2645</v>
      </c>
      <c r="F176" s="4795" t="s">
        <v>2646</v>
      </c>
      <c r="G176" s="4795" t="s">
        <v>18</v>
      </c>
      <c r="H176" s="4795" t="s">
        <v>18</v>
      </c>
      <c r="I176" s="4795" t="s">
        <v>995</v>
      </c>
    </row>
    <row customHeight="1" ht="11.25">
      <c r="A177" s="4795" t="s">
        <v>2178</v>
      </c>
      <c r="B177" s="4795" t="s">
        <v>14</v>
      </c>
      <c r="C177" s="4795" t="s">
        <v>2277</v>
      </c>
      <c r="D177" s="4795" t="s">
        <v>2278</v>
      </c>
      <c r="E177" s="4795" t="s">
        <v>2275</v>
      </c>
      <c r="F177" s="4795" t="s">
        <v>2279</v>
      </c>
      <c r="G177" s="4795" t="s">
        <v>18</v>
      </c>
      <c r="H177" s="4795" t="s">
        <v>18</v>
      </c>
      <c r="I177" s="4795" t="s">
        <v>995</v>
      </c>
    </row>
    <row customHeight="1" ht="11.25">
      <c r="A178" s="4795" t="s">
        <v>2178</v>
      </c>
      <c r="B178" s="4795" t="s">
        <v>14</v>
      </c>
      <c r="C178" s="4795" t="s">
        <v>2647</v>
      </c>
      <c r="D178" s="4795" t="s">
        <v>2648</v>
      </c>
      <c r="E178" s="4795" t="s">
        <v>2649</v>
      </c>
      <c r="F178" s="4795" t="s">
        <v>2312</v>
      </c>
      <c r="G178" s="4795" t="s">
        <v>18</v>
      </c>
      <c r="H178" s="4795" t="s">
        <v>18</v>
      </c>
      <c r="I178" s="4795" t="s">
        <v>995</v>
      </c>
    </row>
    <row customHeight="1" ht="11.25">
      <c r="A179" s="4795" t="s">
        <v>2178</v>
      </c>
      <c r="B179" s="4795" t="s">
        <v>14</v>
      </c>
      <c r="C179" s="4795" t="s">
        <v>2288</v>
      </c>
      <c r="D179" s="4795" t="s">
        <v>2289</v>
      </c>
      <c r="E179" s="4795" t="s">
        <v>2290</v>
      </c>
      <c r="F179" s="4795" t="s">
        <v>2229</v>
      </c>
      <c r="G179" s="4795" t="s">
        <v>18</v>
      </c>
      <c r="H179" s="4795" t="s">
        <v>18</v>
      </c>
      <c r="I179" s="4795" t="s">
        <v>995</v>
      </c>
    </row>
    <row customHeight="1" ht="11.25">
      <c r="A180" s="4795" t="s">
        <v>2178</v>
      </c>
      <c r="B180" s="4795" t="s">
        <v>14</v>
      </c>
      <c r="C180" s="4795" t="s">
        <v>2650</v>
      </c>
      <c r="D180" s="4795" t="s">
        <v>2651</v>
      </c>
      <c r="E180" s="4795" t="s">
        <v>2652</v>
      </c>
      <c r="F180" s="4795" t="s">
        <v>423</v>
      </c>
      <c r="G180" s="4795" t="s">
        <v>18</v>
      </c>
      <c r="H180" s="4795" t="s">
        <v>18</v>
      </c>
      <c r="I180" s="4795" t="s">
        <v>995</v>
      </c>
    </row>
    <row customHeight="1" ht="11.25">
      <c r="A181" s="4795" t="s">
        <v>2178</v>
      </c>
      <c r="B181" s="4795" t="s">
        <v>14</v>
      </c>
      <c r="C181" s="4795" t="s">
        <v>2653</v>
      </c>
      <c r="D181" s="4795" t="s">
        <v>2654</v>
      </c>
      <c r="E181" s="4795" t="s">
        <v>2655</v>
      </c>
      <c r="F181" s="4795" t="s">
        <v>423</v>
      </c>
      <c r="G181" s="4795" t="s">
        <v>18</v>
      </c>
      <c r="H181" s="4795" t="s">
        <v>18</v>
      </c>
      <c r="I181" s="4795" t="s">
        <v>995</v>
      </c>
    </row>
    <row customHeight="1" ht="11.25">
      <c r="A182" s="4795" t="s">
        <v>2178</v>
      </c>
      <c r="B182" s="4795" t="s">
        <v>14</v>
      </c>
      <c r="C182" s="4795" t="s">
        <v>2656</v>
      </c>
      <c r="D182" s="4795" t="s">
        <v>2657</v>
      </c>
      <c r="E182" s="4795" t="s">
        <v>2658</v>
      </c>
      <c r="F182" s="4795" t="s">
        <v>423</v>
      </c>
      <c r="G182" s="4795" t="s">
        <v>18</v>
      </c>
      <c r="H182" s="4795" t="s">
        <v>18</v>
      </c>
      <c r="I182" s="4795" t="s">
        <v>995</v>
      </c>
    </row>
    <row customHeight="1" ht="11.25">
      <c r="A183" s="4795" t="s">
        <v>2178</v>
      </c>
      <c r="B183" s="4795" t="s">
        <v>14</v>
      </c>
      <c r="C183" s="4795" t="s">
        <v>2313</v>
      </c>
      <c r="D183" s="4795" t="s">
        <v>2314</v>
      </c>
      <c r="E183" s="4795" t="s">
        <v>2315</v>
      </c>
      <c r="F183" s="4795" t="s">
        <v>2283</v>
      </c>
      <c r="G183" s="4795" t="s">
        <v>18</v>
      </c>
      <c r="H183" s="4795" t="s">
        <v>18</v>
      </c>
      <c r="I183" s="4795" t="s">
        <v>995</v>
      </c>
    </row>
    <row customHeight="1" ht="11.25">
      <c r="A184" s="4795" t="s">
        <v>2178</v>
      </c>
      <c r="B184" s="4795" t="s">
        <v>14</v>
      </c>
      <c r="C184" s="4795" t="s">
        <v>2659</v>
      </c>
      <c r="D184" s="4795" t="s">
        <v>2324</v>
      </c>
      <c r="E184" s="4795" t="s">
        <v>2325</v>
      </c>
      <c r="F184" s="4795" t="s">
        <v>2660</v>
      </c>
      <c r="G184" s="4795" t="s">
        <v>18</v>
      </c>
      <c r="H184" s="4795" t="s">
        <v>18</v>
      </c>
      <c r="I184" s="4795" t="s">
        <v>995</v>
      </c>
    </row>
    <row customHeight="1" ht="11.25">
      <c r="A185" s="4795" t="s">
        <v>2178</v>
      </c>
      <c r="B185" s="4795" t="s">
        <v>14</v>
      </c>
      <c r="C185" s="4795" t="s">
        <v>2609</v>
      </c>
      <c r="D185" s="4795" t="s">
        <v>2324</v>
      </c>
      <c r="E185" s="4795" t="s">
        <v>2325</v>
      </c>
      <c r="F185" s="4795" t="s">
        <v>2610</v>
      </c>
      <c r="G185" s="4795" t="s">
        <v>18</v>
      </c>
      <c r="H185" s="4795" t="s">
        <v>18</v>
      </c>
      <c r="I185" s="4795" t="s">
        <v>995</v>
      </c>
    </row>
    <row customHeight="1" ht="11.25">
      <c r="A186" s="4795" t="s">
        <v>2178</v>
      </c>
      <c r="B186" s="4795" t="s">
        <v>14</v>
      </c>
      <c r="C186" s="4795" t="s">
        <v>2611</v>
      </c>
      <c r="D186" s="4795" t="s">
        <v>2324</v>
      </c>
      <c r="E186" s="4795" t="s">
        <v>2325</v>
      </c>
      <c r="F186" s="4795" t="s">
        <v>2612</v>
      </c>
      <c r="G186" s="4795" t="s">
        <v>18</v>
      </c>
      <c r="H186" s="4795" t="s">
        <v>18</v>
      </c>
      <c r="I186" s="4795" t="s">
        <v>995</v>
      </c>
    </row>
    <row customHeight="1" ht="11.25">
      <c r="A187" s="4795" t="s">
        <v>2178</v>
      </c>
      <c r="B187" s="4795" t="s">
        <v>14</v>
      </c>
      <c r="C187" s="4795" t="s">
        <v>2613</v>
      </c>
      <c r="D187" s="4795" t="s">
        <v>2324</v>
      </c>
      <c r="E187" s="4795" t="s">
        <v>2325</v>
      </c>
      <c r="F187" s="4795" t="s">
        <v>2614</v>
      </c>
      <c r="G187" s="4795" t="s">
        <v>18</v>
      </c>
      <c r="H187" s="4795" t="s">
        <v>18</v>
      </c>
      <c r="I187" s="4795" t="s">
        <v>995</v>
      </c>
    </row>
    <row customHeight="1" ht="11.25">
      <c r="A188" s="4795" t="s">
        <v>2178</v>
      </c>
      <c r="B188" s="4795" t="s">
        <v>14</v>
      </c>
      <c r="C188" s="4795" t="s">
        <v>2661</v>
      </c>
      <c r="D188" s="4795" t="s">
        <v>2324</v>
      </c>
      <c r="E188" s="4795" t="s">
        <v>2325</v>
      </c>
      <c r="F188" s="4795" t="s">
        <v>2662</v>
      </c>
      <c r="G188" s="4795" t="s">
        <v>18</v>
      </c>
      <c r="H188" s="4795" t="s">
        <v>18</v>
      </c>
      <c r="I188" s="4795" t="s">
        <v>995</v>
      </c>
    </row>
    <row customHeight="1" ht="11.25">
      <c r="A189" s="4795" t="s">
        <v>2178</v>
      </c>
      <c r="B189" s="4795" t="s">
        <v>14</v>
      </c>
      <c r="C189" s="4795" t="s">
        <v>2615</v>
      </c>
      <c r="D189" s="4795" t="s">
        <v>2324</v>
      </c>
      <c r="E189" s="4795" t="s">
        <v>2325</v>
      </c>
      <c r="F189" s="4795" t="s">
        <v>2616</v>
      </c>
      <c r="G189" s="4795" t="s">
        <v>18</v>
      </c>
      <c r="H189" s="4795" t="s">
        <v>18</v>
      </c>
      <c r="I189" s="4795" t="s">
        <v>995</v>
      </c>
    </row>
    <row customHeight="1" ht="11.25">
      <c r="A190" s="4795" t="s">
        <v>2178</v>
      </c>
      <c r="B190" s="4795" t="s">
        <v>14</v>
      </c>
      <c r="C190" s="4795" t="s">
        <v>2617</v>
      </c>
      <c r="D190" s="4795" t="s">
        <v>2324</v>
      </c>
      <c r="E190" s="4795" t="s">
        <v>2325</v>
      </c>
      <c r="F190" s="4795" t="s">
        <v>2618</v>
      </c>
      <c r="G190" s="4795" t="s">
        <v>18</v>
      </c>
      <c r="H190" s="4795" t="s">
        <v>18</v>
      </c>
      <c r="I190" s="4795" t="s">
        <v>995</v>
      </c>
    </row>
    <row customHeight="1" ht="11.25">
      <c r="A191" s="4795" t="s">
        <v>2178</v>
      </c>
      <c r="B191" s="4795" t="s">
        <v>14</v>
      </c>
      <c r="C191" s="4795" t="s">
        <v>2619</v>
      </c>
      <c r="D191" s="4795" t="s">
        <v>2324</v>
      </c>
      <c r="E191" s="4795" t="s">
        <v>2325</v>
      </c>
      <c r="F191" s="4795" t="s">
        <v>2620</v>
      </c>
      <c r="G191" s="4795" t="s">
        <v>18</v>
      </c>
      <c r="H191" s="4795" t="s">
        <v>18</v>
      </c>
      <c r="I191" s="4795" t="s">
        <v>995</v>
      </c>
    </row>
    <row customHeight="1" ht="11.25">
      <c r="A192" s="4795" t="s">
        <v>2178</v>
      </c>
      <c r="B192" s="4795" t="s">
        <v>14</v>
      </c>
      <c r="C192" s="4795" t="s">
        <v>2621</v>
      </c>
      <c r="D192" s="4795" t="s">
        <v>2324</v>
      </c>
      <c r="E192" s="4795" t="s">
        <v>2325</v>
      </c>
      <c r="F192" s="4795" t="s">
        <v>2622</v>
      </c>
      <c r="G192" s="4795" t="s">
        <v>18</v>
      </c>
      <c r="H192" s="4795" t="s">
        <v>18</v>
      </c>
      <c r="I192" s="4795" t="s">
        <v>995</v>
      </c>
    </row>
    <row customHeight="1" ht="11.25">
      <c r="A193" s="4795" t="s">
        <v>2178</v>
      </c>
      <c r="B193" s="4795" t="s">
        <v>14</v>
      </c>
      <c r="C193" s="4795" t="s">
        <v>2623</v>
      </c>
      <c r="D193" s="4795" t="s">
        <v>2324</v>
      </c>
      <c r="E193" s="4795" t="s">
        <v>2325</v>
      </c>
      <c r="F193" s="4795" t="s">
        <v>2624</v>
      </c>
      <c r="G193" s="4795" t="s">
        <v>18</v>
      </c>
      <c r="H193" s="4795" t="s">
        <v>18</v>
      </c>
      <c r="I193" s="4795" t="s">
        <v>995</v>
      </c>
    </row>
    <row customHeight="1" ht="11.25">
      <c r="A194" s="4795" t="s">
        <v>2178</v>
      </c>
      <c r="B194" s="4795" t="s">
        <v>14</v>
      </c>
      <c r="C194" s="4795" t="s">
        <v>2323</v>
      </c>
      <c r="D194" s="4795" t="s">
        <v>2324</v>
      </c>
      <c r="E194" s="4795" t="s">
        <v>2325</v>
      </c>
      <c r="F194" s="4795" t="s">
        <v>2322</v>
      </c>
      <c r="G194" s="4795" t="s">
        <v>18</v>
      </c>
      <c r="H194" s="4795" t="s">
        <v>18</v>
      </c>
      <c r="I194" s="4795" t="s">
        <v>995</v>
      </c>
    </row>
    <row customHeight="1" ht="11.25">
      <c r="A195" s="4795" t="s">
        <v>2178</v>
      </c>
      <c r="B195" s="4795" t="s">
        <v>14</v>
      </c>
      <c r="C195" s="4795" t="s">
        <v>2663</v>
      </c>
      <c r="D195" s="4795" t="s">
        <v>2664</v>
      </c>
      <c r="E195" s="4795" t="s">
        <v>2665</v>
      </c>
      <c r="F195" s="4795" t="s">
        <v>2210</v>
      </c>
      <c r="G195" s="4795" t="s">
        <v>18</v>
      </c>
      <c r="H195" s="4795" t="s">
        <v>18</v>
      </c>
      <c r="I195" s="4795" t="s">
        <v>995</v>
      </c>
    </row>
    <row customHeight="1" ht="11.25">
      <c r="A196" s="4795" t="s">
        <v>2178</v>
      </c>
      <c r="B196" s="4795" t="s">
        <v>14</v>
      </c>
      <c r="C196" s="4795" t="s">
        <v>2666</v>
      </c>
      <c r="D196" s="4795" t="s">
        <v>2664</v>
      </c>
      <c r="E196" s="4795" t="s">
        <v>2665</v>
      </c>
      <c r="F196" s="4795" t="s">
        <v>2667</v>
      </c>
      <c r="G196" s="4795" t="s">
        <v>18</v>
      </c>
      <c r="H196" s="4795" t="s">
        <v>18</v>
      </c>
      <c r="I196" s="4795" t="s">
        <v>995</v>
      </c>
    </row>
    <row customHeight="1" ht="11.25">
      <c r="A197" s="4795" t="s">
        <v>2178</v>
      </c>
      <c r="B197" s="4795" t="s">
        <v>14</v>
      </c>
      <c r="C197" s="4795" t="s">
        <v>2668</v>
      </c>
      <c r="D197" s="4795" t="s">
        <v>2626</v>
      </c>
      <c r="E197" s="4795" t="s">
        <v>2325</v>
      </c>
      <c r="F197" s="4795" t="s">
        <v>2669</v>
      </c>
      <c r="G197" s="4795" t="s">
        <v>18</v>
      </c>
      <c r="H197" s="4795" t="s">
        <v>18</v>
      </c>
      <c r="I197" s="4795" t="s">
        <v>995</v>
      </c>
    </row>
    <row customHeight="1" ht="11.25">
      <c r="A198" s="4795" t="s">
        <v>2178</v>
      </c>
      <c r="B198" s="4795" t="s">
        <v>14</v>
      </c>
      <c r="C198" s="4795" t="s">
        <v>2625</v>
      </c>
      <c r="D198" s="4795" t="s">
        <v>2626</v>
      </c>
      <c r="E198" s="4795" t="s">
        <v>2325</v>
      </c>
      <c r="F198" s="4795" t="s">
        <v>2627</v>
      </c>
      <c r="G198" s="4795" t="s">
        <v>18</v>
      </c>
      <c r="H198" s="4795" t="s">
        <v>18</v>
      </c>
      <c r="I198" s="4795" t="s">
        <v>995</v>
      </c>
    </row>
    <row customHeight="1" ht="11.25">
      <c r="A199" s="4795" t="s">
        <v>2178</v>
      </c>
      <c r="B199" s="4795" t="s">
        <v>14</v>
      </c>
      <c r="C199" s="4795" t="s">
        <v>2670</v>
      </c>
      <c r="D199" s="4795" t="s">
        <v>2671</v>
      </c>
      <c r="E199" s="4795" t="s">
        <v>2672</v>
      </c>
      <c r="F199" s="4795" t="s">
        <v>51</v>
      </c>
      <c r="G199" s="4795" t="s">
        <v>18</v>
      </c>
      <c r="H199" s="4795" t="s">
        <v>18</v>
      </c>
      <c r="I199" s="4795" t="s">
        <v>995</v>
      </c>
    </row>
    <row customHeight="1" ht="11.25">
      <c r="A200" s="4795" t="s">
        <v>2178</v>
      </c>
      <c r="B200" s="4795" t="s">
        <v>14</v>
      </c>
      <c r="C200" s="4795" t="s">
        <v>2673</v>
      </c>
      <c r="D200" s="4795" t="s">
        <v>2674</v>
      </c>
      <c r="E200" s="4795" t="s">
        <v>2675</v>
      </c>
      <c r="F200" s="4795" t="s">
        <v>2411</v>
      </c>
      <c r="G200" s="4795" t="s">
        <v>18</v>
      </c>
      <c r="H200" s="4795" t="s">
        <v>18</v>
      </c>
      <c r="I200" s="4795" t="s">
        <v>995</v>
      </c>
    </row>
    <row customHeight="1" ht="11.25">
      <c r="A201" s="4795" t="s">
        <v>2178</v>
      </c>
      <c r="B201" s="4795" t="s">
        <v>14</v>
      </c>
      <c r="C201" s="4795" t="s">
        <v>2676</v>
      </c>
      <c r="D201" s="4795" t="s">
        <v>2677</v>
      </c>
      <c r="E201" s="4795" t="s">
        <v>2678</v>
      </c>
      <c r="F201" s="4795" t="s">
        <v>2520</v>
      </c>
      <c r="G201" s="4795" t="s">
        <v>18</v>
      </c>
      <c r="H201" s="4795" t="s">
        <v>18</v>
      </c>
      <c r="I201" s="4795" t="s">
        <v>995</v>
      </c>
    </row>
    <row customHeight="1" ht="11.25">
      <c r="A202" s="4795" t="s">
        <v>2178</v>
      </c>
      <c r="B202" s="4795" t="s">
        <v>14</v>
      </c>
      <c r="C202" s="4795" t="s">
        <v>2679</v>
      </c>
      <c r="D202" s="4795" t="s">
        <v>2680</v>
      </c>
      <c r="E202" s="4795" t="s">
        <v>2681</v>
      </c>
      <c r="F202" s="4795" t="s">
        <v>2238</v>
      </c>
      <c r="G202" s="4795" t="s">
        <v>18</v>
      </c>
      <c r="H202" s="4795" t="s">
        <v>18</v>
      </c>
      <c r="I202" s="4795" t="s">
        <v>995</v>
      </c>
    </row>
    <row customHeight="1" ht="11.25">
      <c r="A203" s="4795" t="s">
        <v>2178</v>
      </c>
      <c r="B203" s="4795" t="s">
        <v>14</v>
      </c>
      <c r="C203" s="4795" t="s">
        <v>2682</v>
      </c>
      <c r="D203" s="4795" t="s">
        <v>2683</v>
      </c>
      <c r="E203" s="4795" t="s">
        <v>2684</v>
      </c>
      <c r="F203" s="4795" t="s">
        <v>2333</v>
      </c>
      <c r="G203" s="4795" t="s">
        <v>18</v>
      </c>
      <c r="H203" s="4795" t="s">
        <v>18</v>
      </c>
      <c r="I203" s="4795" t="s">
        <v>995</v>
      </c>
    </row>
    <row customHeight="1" ht="11.25">
      <c r="A204" s="4795" t="s">
        <v>2178</v>
      </c>
      <c r="B204" s="4795" t="s">
        <v>14</v>
      </c>
      <c r="C204" s="4795" t="s">
        <v>2685</v>
      </c>
      <c r="D204" s="4795" t="s">
        <v>2686</v>
      </c>
      <c r="E204" s="4795" t="s">
        <v>2687</v>
      </c>
      <c r="F204" s="4795" t="s">
        <v>2688</v>
      </c>
      <c r="G204" s="4795" t="s">
        <v>18</v>
      </c>
      <c r="H204" s="4795" t="s">
        <v>18</v>
      </c>
      <c r="I204" s="4795" t="s">
        <v>995</v>
      </c>
    </row>
    <row customHeight="1" ht="11.25">
      <c r="A205" s="4795" t="s">
        <v>2178</v>
      </c>
      <c r="B205" s="4795" t="s">
        <v>14</v>
      </c>
      <c r="C205" s="4795" t="s">
        <v>2689</v>
      </c>
      <c r="D205" s="4795" t="s">
        <v>2690</v>
      </c>
      <c r="E205" s="4795" t="s">
        <v>2691</v>
      </c>
      <c r="F205" s="4795" t="s">
        <v>2238</v>
      </c>
      <c r="G205" s="4795" t="s">
        <v>18</v>
      </c>
      <c r="H205" s="4795" t="s">
        <v>18</v>
      </c>
      <c r="I205" s="4795" t="s">
        <v>995</v>
      </c>
    </row>
    <row customHeight="1" ht="11.25">
      <c r="A206" s="4795" t="s">
        <v>2178</v>
      </c>
      <c r="B206" s="4795" t="s">
        <v>14</v>
      </c>
      <c r="C206" s="4795" t="s">
        <v>2330</v>
      </c>
      <c r="D206" s="4795" t="s">
        <v>2331</v>
      </c>
      <c r="E206" s="4795" t="s">
        <v>2332</v>
      </c>
      <c r="F206" s="4795" t="s">
        <v>2333</v>
      </c>
      <c r="G206" s="4795" t="s">
        <v>18</v>
      </c>
      <c r="H206" s="4795" t="s">
        <v>18</v>
      </c>
      <c r="I206" s="4795" t="s">
        <v>995</v>
      </c>
    </row>
    <row customHeight="1" ht="11.25">
      <c r="A207" s="4795" t="s">
        <v>2178</v>
      </c>
      <c r="B207" s="4795" t="s">
        <v>14</v>
      </c>
      <c r="C207" s="4795" t="s">
        <v>2692</v>
      </c>
      <c r="D207" s="4795" t="s">
        <v>2693</v>
      </c>
      <c r="E207" s="4795" t="s">
        <v>2694</v>
      </c>
      <c r="F207" s="4795" t="s">
        <v>2351</v>
      </c>
      <c r="G207" s="4795" t="s">
        <v>2695</v>
      </c>
      <c r="H207" s="4795" t="s">
        <v>18</v>
      </c>
      <c r="I207" s="4795" t="s">
        <v>995</v>
      </c>
    </row>
    <row customHeight="1" ht="11.25">
      <c r="A208" s="4795" t="s">
        <v>2178</v>
      </c>
      <c r="B208" s="4795" t="s">
        <v>14</v>
      </c>
      <c r="C208" s="4795" t="s">
        <v>2696</v>
      </c>
      <c r="D208" s="4795" t="s">
        <v>2697</v>
      </c>
      <c r="E208" s="4795" t="s">
        <v>2698</v>
      </c>
      <c r="F208" s="4795" t="s">
        <v>2699</v>
      </c>
      <c r="G208" s="4795" t="s">
        <v>18</v>
      </c>
      <c r="H208" s="4795" t="s">
        <v>18</v>
      </c>
      <c r="I208" s="4795" t="s">
        <v>995</v>
      </c>
    </row>
    <row customHeight="1" ht="11.25">
      <c r="A209" s="4795" t="s">
        <v>2178</v>
      </c>
      <c r="B209" s="4795" t="s">
        <v>14</v>
      </c>
      <c r="C209" s="4795" t="s">
        <v>2700</v>
      </c>
      <c r="D209" s="4795" t="s">
        <v>2701</v>
      </c>
      <c r="E209" s="4795" t="s">
        <v>2702</v>
      </c>
      <c r="F209" s="4795" t="s">
        <v>2351</v>
      </c>
      <c r="G209" s="4795" t="s">
        <v>18</v>
      </c>
      <c r="H209" s="4795" t="s">
        <v>18</v>
      </c>
      <c r="I209" s="4795" t="s">
        <v>995</v>
      </c>
    </row>
    <row customHeight="1" ht="11.25">
      <c r="A210" s="4795" t="s">
        <v>2178</v>
      </c>
      <c r="B210" s="4795" t="s">
        <v>14</v>
      </c>
      <c r="C210" s="4795" t="s">
        <v>2703</v>
      </c>
      <c r="D210" s="4795" t="s">
        <v>2704</v>
      </c>
      <c r="E210" s="4795" t="s">
        <v>2705</v>
      </c>
      <c r="F210" s="4795" t="s">
        <v>51</v>
      </c>
      <c r="G210" s="4795" t="s">
        <v>2706</v>
      </c>
      <c r="H210" s="4795" t="s">
        <v>18</v>
      </c>
      <c r="I210" s="4795" t="s">
        <v>995</v>
      </c>
    </row>
    <row customHeight="1" ht="11.25">
      <c r="A211" s="4795" t="s">
        <v>2178</v>
      </c>
      <c r="B211" s="4795" t="s">
        <v>14</v>
      </c>
      <c r="C211" s="4795" t="s">
        <v>2707</v>
      </c>
      <c r="D211" s="4795" t="s">
        <v>2708</v>
      </c>
      <c r="E211" s="4795" t="s">
        <v>2709</v>
      </c>
      <c r="F211" s="4795" t="s">
        <v>51</v>
      </c>
      <c r="G211" s="4795" t="s">
        <v>2710</v>
      </c>
      <c r="H211" s="4795" t="s">
        <v>18</v>
      </c>
      <c r="I211" s="4795" t="s">
        <v>995</v>
      </c>
    </row>
    <row customHeight="1" ht="11.25">
      <c r="A212" s="4795" t="s">
        <v>2178</v>
      </c>
      <c r="B212" s="4795" t="s">
        <v>14</v>
      </c>
      <c r="C212" s="4795" t="s">
        <v>2337</v>
      </c>
      <c r="D212" s="4795" t="s">
        <v>2338</v>
      </c>
      <c r="E212" s="4795" t="s">
        <v>2339</v>
      </c>
      <c r="F212" s="4795" t="s">
        <v>2340</v>
      </c>
      <c r="G212" s="4795" t="s">
        <v>18</v>
      </c>
      <c r="H212" s="4795" t="s">
        <v>18</v>
      </c>
      <c r="I212" s="4795" t="s">
        <v>995</v>
      </c>
    </row>
    <row customHeight="1" ht="11.25">
      <c r="A213" s="4795" t="s">
        <v>2178</v>
      </c>
      <c r="B213" s="4795" t="s">
        <v>14</v>
      </c>
      <c r="C213" s="4795" t="s">
        <v>2341</v>
      </c>
      <c r="D213" s="4795" t="s">
        <v>2342</v>
      </c>
      <c r="E213" s="4795" t="s">
        <v>2343</v>
      </c>
      <c r="F213" s="4795" t="s">
        <v>2344</v>
      </c>
      <c r="G213" s="4795" t="s">
        <v>18</v>
      </c>
      <c r="H213" s="4795" t="s">
        <v>18</v>
      </c>
      <c r="I213" s="4795" t="s">
        <v>995</v>
      </c>
    </row>
    <row customHeight="1" ht="11.25">
      <c r="A214" s="4795" t="s">
        <v>2178</v>
      </c>
      <c r="B214" s="4795" t="s">
        <v>14</v>
      </c>
      <c r="C214" s="4795" t="s">
        <v>2345</v>
      </c>
      <c r="D214" s="4795" t="s">
        <v>2346</v>
      </c>
      <c r="E214" s="4795" t="s">
        <v>2347</v>
      </c>
      <c r="F214" s="4795" t="s">
        <v>2344</v>
      </c>
      <c r="G214" s="4795" t="s">
        <v>18</v>
      </c>
      <c r="H214" s="4795" t="s">
        <v>18</v>
      </c>
      <c r="I214" s="4795" t="s">
        <v>995</v>
      </c>
    </row>
    <row customHeight="1" ht="11.25">
      <c r="A215" s="4795" t="s">
        <v>2178</v>
      </c>
      <c r="B215" s="4795" t="s">
        <v>14</v>
      </c>
      <c r="C215" s="4795" t="s">
        <v>2348</v>
      </c>
      <c r="D215" s="4795" t="s">
        <v>2349</v>
      </c>
      <c r="E215" s="4795" t="s">
        <v>2350</v>
      </c>
      <c r="F215" s="4795" t="s">
        <v>2351</v>
      </c>
      <c r="G215" s="4795" t="s">
        <v>18</v>
      </c>
      <c r="H215" s="4795" t="s">
        <v>18</v>
      </c>
      <c r="I215" s="4795" t="s">
        <v>995</v>
      </c>
    </row>
    <row customHeight="1" ht="11.25">
      <c r="A216" s="4795" t="s">
        <v>2178</v>
      </c>
      <c r="B216" s="4795" t="s">
        <v>14</v>
      </c>
      <c r="C216" s="4795" t="s">
        <v>2711</v>
      </c>
      <c r="D216" s="4795" t="s">
        <v>2712</v>
      </c>
      <c r="E216" s="4795" t="s">
        <v>2713</v>
      </c>
      <c r="F216" s="4795" t="s">
        <v>2283</v>
      </c>
      <c r="G216" s="4795" t="s">
        <v>18</v>
      </c>
      <c r="H216" s="4795" t="s">
        <v>18</v>
      </c>
      <c r="I216" s="4795" t="s">
        <v>995</v>
      </c>
    </row>
    <row customHeight="1" ht="11.25">
      <c r="A217" s="4795" t="s">
        <v>2178</v>
      </c>
      <c r="B217" s="4795" t="s">
        <v>14</v>
      </c>
      <c r="C217" s="4795" t="s">
        <v>2714</v>
      </c>
      <c r="D217" s="4795" t="s">
        <v>2715</v>
      </c>
      <c r="E217" s="4795" t="s">
        <v>2716</v>
      </c>
      <c r="F217" s="4795" t="s">
        <v>2246</v>
      </c>
      <c r="G217" s="4795" t="s">
        <v>2717</v>
      </c>
      <c r="H217" s="4795" t="s">
        <v>18</v>
      </c>
      <c r="I217" s="4795" t="s">
        <v>995</v>
      </c>
    </row>
    <row customHeight="1" ht="11.25">
      <c r="A218" s="4795" t="s">
        <v>2178</v>
      </c>
      <c r="B218" s="4795" t="s">
        <v>14</v>
      </c>
      <c r="C218" s="4795" t="s">
        <v>2718</v>
      </c>
      <c r="D218" s="4795" t="s">
        <v>2719</v>
      </c>
      <c r="E218" s="4795" t="s">
        <v>2720</v>
      </c>
      <c r="F218" s="4795" t="s">
        <v>2304</v>
      </c>
      <c r="G218" s="4795" t="s">
        <v>2721</v>
      </c>
      <c r="H218" s="4795" t="s">
        <v>18</v>
      </c>
      <c r="I218" s="4795" t="s">
        <v>995</v>
      </c>
    </row>
    <row customHeight="1" ht="11.25">
      <c r="A219" s="4795" t="s">
        <v>2178</v>
      </c>
      <c r="B219" s="4795" t="s">
        <v>14</v>
      </c>
      <c r="C219" s="4795" t="s">
        <v>2352</v>
      </c>
      <c r="D219" s="4795" t="s">
        <v>46</v>
      </c>
      <c r="E219" s="4795" t="s">
        <v>49</v>
      </c>
      <c r="F219" s="4795" t="s">
        <v>51</v>
      </c>
      <c r="G219" s="4795" t="s">
        <v>18</v>
      </c>
      <c r="H219" s="4795" t="s">
        <v>18</v>
      </c>
      <c r="I219" s="4795" t="s">
        <v>995</v>
      </c>
    </row>
    <row customHeight="1" ht="11.25">
      <c r="A220" s="4795" t="s">
        <v>2178</v>
      </c>
      <c r="B220" s="4795" t="s">
        <v>14</v>
      </c>
      <c r="C220" s="4795" t="s">
        <v>2722</v>
      </c>
      <c r="D220" s="4795" t="s">
        <v>2723</v>
      </c>
      <c r="E220" s="4795" t="s">
        <v>2724</v>
      </c>
      <c r="F220" s="4795" t="s">
        <v>2688</v>
      </c>
      <c r="G220" s="4795" t="s">
        <v>18</v>
      </c>
      <c r="H220" s="4795" t="s">
        <v>18</v>
      </c>
      <c r="I220" s="4795" t="s">
        <v>995</v>
      </c>
    </row>
    <row customHeight="1" ht="11.25">
      <c r="A221" s="4795" t="s">
        <v>2178</v>
      </c>
      <c r="B221" s="4795" t="s">
        <v>14</v>
      </c>
      <c r="C221" s="4795" t="s">
        <v>2353</v>
      </c>
      <c r="D221" s="4795" t="s">
        <v>2354</v>
      </c>
      <c r="E221" s="4795" t="s">
        <v>2355</v>
      </c>
      <c r="F221" s="4795" t="s">
        <v>2340</v>
      </c>
      <c r="G221" s="4795" t="s">
        <v>18</v>
      </c>
      <c r="H221" s="4795" t="s">
        <v>18</v>
      </c>
      <c r="I221" s="4795" t="s">
        <v>995</v>
      </c>
    </row>
    <row customHeight="1" ht="11.25">
      <c r="A222" s="4795" t="s">
        <v>2178</v>
      </c>
      <c r="B222" s="4795" t="s">
        <v>14</v>
      </c>
      <c r="C222" s="4795" t="s">
        <v>2725</v>
      </c>
      <c r="D222" s="4795" t="s">
        <v>2726</v>
      </c>
      <c r="E222" s="4795" t="s">
        <v>2727</v>
      </c>
      <c r="F222" s="4795" t="s">
        <v>2246</v>
      </c>
      <c r="G222" s="4795" t="s">
        <v>18</v>
      </c>
      <c r="H222" s="4795" t="s">
        <v>18</v>
      </c>
      <c r="I222" s="4795" t="s">
        <v>995</v>
      </c>
    </row>
    <row customHeight="1" ht="11.25">
      <c r="A223" s="4795" t="s">
        <v>2178</v>
      </c>
      <c r="B223" s="4795" t="s">
        <v>14</v>
      </c>
      <c r="C223" s="4795" t="s">
        <v>2728</v>
      </c>
      <c r="D223" s="4795" t="s">
        <v>2729</v>
      </c>
      <c r="E223" s="4795" t="s">
        <v>2730</v>
      </c>
      <c r="F223" s="4795" t="s">
        <v>2602</v>
      </c>
      <c r="G223" s="4795" t="s">
        <v>18</v>
      </c>
      <c r="H223" s="4795" t="s">
        <v>18</v>
      </c>
      <c r="I223" s="4795" t="s">
        <v>995</v>
      </c>
    </row>
    <row customHeight="1" ht="11.25">
      <c r="A224" s="4795" t="s">
        <v>2178</v>
      </c>
      <c r="B224" s="4795" t="s">
        <v>14</v>
      </c>
      <c r="C224" s="4795" t="s">
        <v>2731</v>
      </c>
      <c r="D224" s="4795" t="s">
        <v>2732</v>
      </c>
      <c r="E224" s="4795" t="s">
        <v>2733</v>
      </c>
      <c r="F224" s="4795" t="s">
        <v>2185</v>
      </c>
      <c r="G224" s="4795" t="s">
        <v>18</v>
      </c>
      <c r="H224" s="4795" t="s">
        <v>18</v>
      </c>
      <c r="I224" s="4795" t="s">
        <v>995</v>
      </c>
    </row>
    <row customHeight="1" ht="11.25">
      <c r="A225" s="4795" t="s">
        <v>2178</v>
      </c>
      <c r="B225" s="4795" t="s">
        <v>14</v>
      </c>
      <c r="C225" s="4795" t="s">
        <v>2356</v>
      </c>
      <c r="D225" s="4795" t="s">
        <v>2357</v>
      </c>
      <c r="E225" s="4795" t="s">
        <v>2358</v>
      </c>
      <c r="F225" s="4795" t="s">
        <v>2359</v>
      </c>
      <c r="G225" s="4795" t="s">
        <v>18</v>
      </c>
      <c r="H225" s="4795" t="s">
        <v>18</v>
      </c>
      <c r="I225" s="4795" t="s">
        <v>995</v>
      </c>
    </row>
    <row customHeight="1" ht="11.25">
      <c r="A226" s="4795" t="s">
        <v>2178</v>
      </c>
      <c r="B226" s="4795" t="s">
        <v>14</v>
      </c>
      <c r="C226" s="4795" t="s">
        <v>2734</v>
      </c>
      <c r="D226" s="4795" t="s">
        <v>2735</v>
      </c>
      <c r="E226" s="4795" t="s">
        <v>2736</v>
      </c>
      <c r="F226" s="4795" t="s">
        <v>2602</v>
      </c>
      <c r="G226" s="4795" t="s">
        <v>18</v>
      </c>
      <c r="H226" s="4795" t="s">
        <v>18</v>
      </c>
      <c r="I226" s="4795" t="s">
        <v>995</v>
      </c>
    </row>
    <row customHeight="1" ht="11.25">
      <c r="A227" s="4795" t="s">
        <v>2178</v>
      </c>
      <c r="B227" s="4795" t="s">
        <v>14</v>
      </c>
      <c r="C227" s="4795" t="s">
        <v>2360</v>
      </c>
      <c r="D227" s="4795" t="s">
        <v>2361</v>
      </c>
      <c r="E227" s="4795" t="s">
        <v>2362</v>
      </c>
      <c r="F227" s="4795" t="s">
        <v>2322</v>
      </c>
      <c r="G227" s="4795" t="s">
        <v>18</v>
      </c>
      <c r="H227" s="4795" t="s">
        <v>18</v>
      </c>
      <c r="I227" s="4795" t="s">
        <v>995</v>
      </c>
    </row>
    <row customHeight="1" ht="11.25">
      <c r="A228" s="4795" t="s">
        <v>2178</v>
      </c>
      <c r="B228" s="4795" t="s">
        <v>14</v>
      </c>
      <c r="C228" s="4795" t="s">
        <v>2370</v>
      </c>
      <c r="D228" s="4795" t="s">
        <v>2371</v>
      </c>
      <c r="E228" s="4795" t="s">
        <v>2372</v>
      </c>
      <c r="F228" s="4795" t="s">
        <v>2373</v>
      </c>
      <c r="G228" s="4795" t="s">
        <v>18</v>
      </c>
      <c r="H228" s="4795" t="s">
        <v>18</v>
      </c>
      <c r="I228" s="4795" t="s">
        <v>995</v>
      </c>
    </row>
    <row customHeight="1" ht="11.25">
      <c r="A229" s="4795" t="s">
        <v>2178</v>
      </c>
      <c r="B229" s="4795" t="s">
        <v>14</v>
      </c>
      <c r="C229" s="4795" t="s">
        <v>2737</v>
      </c>
      <c r="D229" s="4795" t="s">
        <v>2738</v>
      </c>
      <c r="E229" s="4795" t="s">
        <v>2196</v>
      </c>
      <c r="F229" s="4795" t="s">
        <v>2739</v>
      </c>
      <c r="G229" s="4795" t="s">
        <v>18</v>
      </c>
      <c r="H229" s="4795" t="s">
        <v>18</v>
      </c>
      <c r="I229" s="4795" t="s">
        <v>995</v>
      </c>
    </row>
    <row customHeight="1" ht="11.25">
      <c r="A230" s="4795" t="s">
        <v>2178</v>
      </c>
      <c r="B230" s="4795" t="s">
        <v>14</v>
      </c>
      <c r="C230" s="4795" t="s">
        <v>2740</v>
      </c>
      <c r="D230" s="4795" t="s">
        <v>2741</v>
      </c>
      <c r="E230" s="4795" t="s">
        <v>2742</v>
      </c>
      <c r="F230" s="4795" t="s">
        <v>2185</v>
      </c>
      <c r="G230" s="4795" t="s">
        <v>18</v>
      </c>
      <c r="H230" s="4795" t="s">
        <v>18</v>
      </c>
      <c r="I230" s="4795" t="s">
        <v>995</v>
      </c>
    </row>
    <row customHeight="1" ht="11.25">
      <c r="A231" s="4795" t="s">
        <v>2178</v>
      </c>
      <c r="B231" s="4795" t="s">
        <v>14</v>
      </c>
      <c r="C231" s="4795" t="s">
        <v>2393</v>
      </c>
      <c r="D231" s="4795" t="s">
        <v>2394</v>
      </c>
      <c r="E231" s="4795" t="s">
        <v>2395</v>
      </c>
      <c r="F231" s="4795" t="s">
        <v>2344</v>
      </c>
      <c r="G231" s="4795" t="s">
        <v>18</v>
      </c>
      <c r="H231" s="4795" t="s">
        <v>18</v>
      </c>
      <c r="I231" s="4795" t="s">
        <v>995</v>
      </c>
    </row>
    <row customHeight="1" ht="11.25">
      <c r="A232" s="4795" t="s">
        <v>2178</v>
      </c>
      <c r="B232" s="4795" t="s">
        <v>14</v>
      </c>
      <c r="C232" s="4795" t="s">
        <v>2743</v>
      </c>
      <c r="D232" s="4795" t="s">
        <v>2744</v>
      </c>
      <c r="E232" s="4795" t="s">
        <v>2745</v>
      </c>
      <c r="F232" s="4795" t="s">
        <v>51</v>
      </c>
      <c r="G232" s="4795" t="s">
        <v>2746</v>
      </c>
      <c r="H232" s="4795" t="s">
        <v>18</v>
      </c>
      <c r="I232" s="4795" t="s">
        <v>995</v>
      </c>
    </row>
    <row customHeight="1" ht="11.25">
      <c r="A233" s="4795" t="s">
        <v>2178</v>
      </c>
      <c r="B233" s="4795" t="s">
        <v>14</v>
      </c>
      <c r="C233" s="4795" t="s">
        <v>2747</v>
      </c>
      <c r="D233" s="4795" t="s">
        <v>2748</v>
      </c>
      <c r="E233" s="4795" t="s">
        <v>2749</v>
      </c>
      <c r="F233" s="4795" t="s">
        <v>2229</v>
      </c>
      <c r="G233" s="4795" t="s">
        <v>2750</v>
      </c>
      <c r="H233" s="4795" t="s">
        <v>18</v>
      </c>
      <c r="I233" s="4795" t="s">
        <v>995</v>
      </c>
    </row>
    <row customHeight="1" ht="11.25">
      <c r="A234" s="4795" t="s">
        <v>2178</v>
      </c>
      <c r="B234" s="4795" t="s">
        <v>14</v>
      </c>
      <c r="C234" s="4795" t="s">
        <v>2751</v>
      </c>
      <c r="D234" s="4795" t="s">
        <v>2752</v>
      </c>
      <c r="E234" s="4795" t="s">
        <v>2753</v>
      </c>
      <c r="F234" s="4795" t="s">
        <v>2499</v>
      </c>
      <c r="G234" s="4795" t="s">
        <v>2754</v>
      </c>
      <c r="H234" s="4795" t="s">
        <v>18</v>
      </c>
      <c r="I234" s="4795" t="s">
        <v>995</v>
      </c>
    </row>
    <row customHeight="1" ht="11.25">
      <c r="A235" s="4795" t="s">
        <v>2178</v>
      </c>
      <c r="B235" s="4795" t="s">
        <v>14</v>
      </c>
      <c r="C235" s="4795" t="s">
        <v>2755</v>
      </c>
      <c r="D235" s="4795" t="s">
        <v>2756</v>
      </c>
      <c r="E235" s="4795" t="s">
        <v>2757</v>
      </c>
      <c r="F235" s="4795" t="s">
        <v>2758</v>
      </c>
      <c r="G235" s="4795" t="s">
        <v>18</v>
      </c>
      <c r="H235" s="4795" t="s">
        <v>18</v>
      </c>
      <c r="I235" s="4795" t="s">
        <v>995</v>
      </c>
    </row>
    <row customHeight="1" ht="11.25">
      <c r="A236" s="4795" t="s">
        <v>2178</v>
      </c>
      <c r="B236" s="4795" t="s">
        <v>14</v>
      </c>
      <c r="C236" s="4795" t="s">
        <v>2759</v>
      </c>
      <c r="D236" s="4795" t="s">
        <v>2760</v>
      </c>
      <c r="E236" s="4795" t="s">
        <v>2761</v>
      </c>
      <c r="F236" s="4795" t="s">
        <v>2189</v>
      </c>
      <c r="G236" s="4795" t="s">
        <v>2762</v>
      </c>
      <c r="H236" s="4795" t="s">
        <v>18</v>
      </c>
      <c r="I236" s="4795" t="s">
        <v>995</v>
      </c>
    </row>
    <row customHeight="1" ht="11.25">
      <c r="A237" s="4795" t="s">
        <v>2178</v>
      </c>
      <c r="B237" s="4795" t="s">
        <v>14</v>
      </c>
      <c r="C237" s="4795" t="s">
        <v>2763</v>
      </c>
      <c r="D237" s="4795" t="s">
        <v>2764</v>
      </c>
      <c r="E237" s="4795" t="s">
        <v>2765</v>
      </c>
      <c r="F237" s="4795" t="s">
        <v>2210</v>
      </c>
      <c r="G237" s="4795" t="s">
        <v>18</v>
      </c>
      <c r="H237" s="4795" t="s">
        <v>18</v>
      </c>
      <c r="I237" s="4795" t="s">
        <v>995</v>
      </c>
    </row>
    <row customHeight="1" ht="11.25">
      <c r="A238" s="4795" t="s">
        <v>2178</v>
      </c>
      <c r="B238" s="4795" t="s">
        <v>14</v>
      </c>
      <c r="C238" s="4795" t="s">
        <v>2766</v>
      </c>
      <c r="D238" s="4795" t="s">
        <v>2767</v>
      </c>
      <c r="E238" s="4795" t="s">
        <v>2768</v>
      </c>
      <c r="F238" s="4795" t="s">
        <v>2769</v>
      </c>
      <c r="G238" s="4795" t="s">
        <v>18</v>
      </c>
      <c r="H238" s="4795" t="s">
        <v>18</v>
      </c>
      <c r="I238" s="4795" t="s">
        <v>995</v>
      </c>
    </row>
    <row customHeight="1" ht="11.25">
      <c r="A239" s="4795" t="s">
        <v>2178</v>
      </c>
      <c r="B239" s="4795" t="s">
        <v>14</v>
      </c>
      <c r="C239" s="4795" t="s">
        <v>2770</v>
      </c>
      <c r="D239" s="4795" t="s">
        <v>2771</v>
      </c>
      <c r="E239" s="4795" t="s">
        <v>2772</v>
      </c>
      <c r="F239" s="4795" t="s">
        <v>2576</v>
      </c>
      <c r="G239" s="4795" t="s">
        <v>18</v>
      </c>
      <c r="H239" s="4795" t="s">
        <v>18</v>
      </c>
      <c r="I239" s="4795" t="s">
        <v>995</v>
      </c>
    </row>
    <row customHeight="1" ht="11.25">
      <c r="A240" s="4795" t="s">
        <v>2178</v>
      </c>
      <c r="B240" s="4795" t="s">
        <v>14</v>
      </c>
      <c r="C240" s="4795" t="s">
        <v>2773</v>
      </c>
      <c r="D240" s="4795" t="s">
        <v>2774</v>
      </c>
      <c r="E240" s="4795" t="s">
        <v>2775</v>
      </c>
      <c r="F240" s="4795" t="s">
        <v>2602</v>
      </c>
      <c r="G240" s="4795" t="s">
        <v>2776</v>
      </c>
      <c r="H240" s="4795" t="s">
        <v>18</v>
      </c>
      <c r="I240" s="4795" t="s">
        <v>995</v>
      </c>
    </row>
    <row customHeight="1" ht="11.25">
      <c r="A241" s="4795" t="s">
        <v>2178</v>
      </c>
      <c r="B241" s="4795" t="s">
        <v>14</v>
      </c>
      <c r="C241" s="4795" t="s">
        <v>2408</v>
      </c>
      <c r="D241" s="4795" t="s">
        <v>2409</v>
      </c>
      <c r="E241" s="4795" t="s">
        <v>2410</v>
      </c>
      <c r="F241" s="4795" t="s">
        <v>2411</v>
      </c>
      <c r="G241" s="4795" t="s">
        <v>2412</v>
      </c>
      <c r="H241" s="4795" t="s">
        <v>18</v>
      </c>
      <c r="I241" s="4795" t="s">
        <v>995</v>
      </c>
    </row>
    <row customHeight="1" ht="11.25">
      <c r="A242" s="4795" t="s">
        <v>2178</v>
      </c>
      <c r="B242" s="4795" t="s">
        <v>14</v>
      </c>
      <c r="C242" s="4795" t="s">
        <v>2777</v>
      </c>
      <c r="D242" s="4795" t="s">
        <v>2778</v>
      </c>
      <c r="E242" s="4795" t="s">
        <v>2779</v>
      </c>
      <c r="F242" s="4795" t="s">
        <v>51</v>
      </c>
      <c r="G242" s="4795" t="s">
        <v>18</v>
      </c>
      <c r="H242" s="4795" t="s">
        <v>18</v>
      </c>
      <c r="I242" s="4795" t="s">
        <v>995</v>
      </c>
    </row>
    <row customHeight="1" ht="11.25">
      <c r="A243" s="4795" t="s">
        <v>2178</v>
      </c>
      <c r="B243" s="4795" t="s">
        <v>14</v>
      </c>
      <c r="C243" s="4795" t="s">
        <v>2780</v>
      </c>
      <c r="D243" s="4795" t="s">
        <v>2781</v>
      </c>
      <c r="E243" s="4795" t="s">
        <v>2782</v>
      </c>
      <c r="F243" s="4795" t="s">
        <v>2411</v>
      </c>
      <c r="G243" s="4795" t="s">
        <v>18</v>
      </c>
      <c r="H243" s="4795" t="s">
        <v>18</v>
      </c>
      <c r="I243" s="4795" t="s">
        <v>995</v>
      </c>
    </row>
    <row customHeight="1" ht="11.25">
      <c r="A244" s="4795" t="s">
        <v>2178</v>
      </c>
      <c r="B244" s="4795" t="s">
        <v>14</v>
      </c>
      <c r="C244" s="4795" t="s">
        <v>2783</v>
      </c>
      <c r="D244" s="4795" t="s">
        <v>2784</v>
      </c>
      <c r="E244" s="4795" t="s">
        <v>2785</v>
      </c>
      <c r="F244" s="4795" t="s">
        <v>2181</v>
      </c>
      <c r="G244" s="4795" t="s">
        <v>18</v>
      </c>
      <c r="H244" s="4795" t="s">
        <v>18</v>
      </c>
      <c r="I244" s="4795" t="s">
        <v>995</v>
      </c>
    </row>
    <row customHeight="1" ht="11.25">
      <c r="A245" s="4795" t="s">
        <v>2178</v>
      </c>
      <c r="B245" s="4795" t="s">
        <v>14</v>
      </c>
      <c r="C245" s="4795" t="s">
        <v>2421</v>
      </c>
      <c r="D245" s="4795" t="s">
        <v>2422</v>
      </c>
      <c r="E245" s="4795" t="s">
        <v>2423</v>
      </c>
      <c r="F245" s="4795" t="s">
        <v>2424</v>
      </c>
      <c r="G245" s="4795" t="s">
        <v>18</v>
      </c>
      <c r="H245" s="4795" t="s">
        <v>18</v>
      </c>
      <c r="I245" s="4795" t="s">
        <v>995</v>
      </c>
    </row>
    <row customHeight="1" ht="11.25">
      <c r="A246" s="4795" t="s">
        <v>2178</v>
      </c>
      <c r="B246" s="4795" t="s">
        <v>14</v>
      </c>
      <c r="C246" s="4795" t="s">
        <v>2786</v>
      </c>
      <c r="D246" s="4795" t="s">
        <v>2787</v>
      </c>
      <c r="E246" s="4795" t="s">
        <v>2788</v>
      </c>
      <c r="F246" s="4795" t="s">
        <v>2185</v>
      </c>
      <c r="G246" s="4795" t="s">
        <v>18</v>
      </c>
      <c r="H246" s="4795" t="s">
        <v>18</v>
      </c>
      <c r="I246" s="4795" t="s">
        <v>995</v>
      </c>
    </row>
    <row customHeight="1" ht="11.25">
      <c r="A247" s="4795" t="s">
        <v>2178</v>
      </c>
      <c r="B247" s="4795" t="s">
        <v>14</v>
      </c>
      <c r="C247" s="4795" t="s">
        <v>2425</v>
      </c>
      <c r="D247" s="4795" t="s">
        <v>2426</v>
      </c>
      <c r="E247" s="4795" t="s">
        <v>2427</v>
      </c>
      <c r="F247" s="4795" t="s">
        <v>2411</v>
      </c>
      <c r="G247" s="4795" t="s">
        <v>18</v>
      </c>
      <c r="H247" s="4795" t="s">
        <v>18</v>
      </c>
      <c r="I247" s="4795" t="s">
        <v>995</v>
      </c>
    </row>
    <row customHeight="1" ht="11.25">
      <c r="A248" s="4795" t="s">
        <v>2178</v>
      </c>
      <c r="B248" s="4795" t="s">
        <v>14</v>
      </c>
      <c r="C248" s="4795" t="s">
        <v>2431</v>
      </c>
      <c r="D248" s="4795" t="s">
        <v>2432</v>
      </c>
      <c r="E248" s="4795" t="s">
        <v>2433</v>
      </c>
      <c r="F248" s="4795" t="s">
        <v>2411</v>
      </c>
      <c r="G248" s="4795" t="s">
        <v>18</v>
      </c>
      <c r="H248" s="4795" t="s">
        <v>18</v>
      </c>
      <c r="I248" s="4795" t="s">
        <v>995</v>
      </c>
    </row>
    <row customHeight="1" ht="11.25">
      <c r="A249" s="4795" t="s">
        <v>2178</v>
      </c>
      <c r="B249" s="4795" t="s">
        <v>14</v>
      </c>
      <c r="C249" s="4795" t="s">
        <v>2789</v>
      </c>
      <c r="D249" s="4795" t="s">
        <v>2790</v>
      </c>
      <c r="E249" s="4795" t="s">
        <v>2791</v>
      </c>
      <c r="F249" s="4795" t="s">
        <v>2411</v>
      </c>
      <c r="G249" s="4795" t="s">
        <v>18</v>
      </c>
      <c r="H249" s="4795" t="s">
        <v>18</v>
      </c>
      <c r="I249" s="4795" t="s">
        <v>995</v>
      </c>
    </row>
    <row customHeight="1" ht="11.25">
      <c r="A250" s="4795" t="s">
        <v>2178</v>
      </c>
      <c r="B250" s="4795" t="s">
        <v>14</v>
      </c>
      <c r="C250" s="4795" t="s">
        <v>2792</v>
      </c>
      <c r="D250" s="4795" t="s">
        <v>2793</v>
      </c>
      <c r="E250" s="4795" t="s">
        <v>2794</v>
      </c>
      <c r="F250" s="4795" t="s">
        <v>2359</v>
      </c>
      <c r="G250" s="4795" t="s">
        <v>2795</v>
      </c>
      <c r="H250" s="4795" t="s">
        <v>18</v>
      </c>
      <c r="I250" s="4795" t="s">
        <v>995</v>
      </c>
    </row>
    <row customHeight="1" ht="11.25">
      <c r="A251" s="4795" t="s">
        <v>2178</v>
      </c>
      <c r="B251" s="4795" t="s">
        <v>14</v>
      </c>
      <c r="C251" s="4795" t="s">
        <v>2796</v>
      </c>
      <c r="D251" s="4795" t="s">
        <v>2797</v>
      </c>
      <c r="E251" s="4795" t="s">
        <v>2798</v>
      </c>
      <c r="F251" s="4795" t="s">
        <v>2185</v>
      </c>
      <c r="G251" s="4795" t="s">
        <v>2799</v>
      </c>
      <c r="H251" s="4795" t="s">
        <v>18</v>
      </c>
      <c r="I251" s="4795" t="s">
        <v>995</v>
      </c>
    </row>
    <row customHeight="1" ht="11.25">
      <c r="A252" s="4795" t="s">
        <v>2178</v>
      </c>
      <c r="B252" s="4795" t="s">
        <v>14</v>
      </c>
      <c r="C252" s="4795" t="s">
        <v>2800</v>
      </c>
      <c r="D252" s="4795" t="s">
        <v>2801</v>
      </c>
      <c r="E252" s="4795" t="s">
        <v>2802</v>
      </c>
      <c r="F252" s="4795" t="s">
        <v>2312</v>
      </c>
      <c r="G252" s="4795" t="s">
        <v>18</v>
      </c>
      <c r="H252" s="4795" t="s">
        <v>18</v>
      </c>
      <c r="I252" s="4795" t="s">
        <v>995</v>
      </c>
    </row>
    <row customHeight="1" ht="11.25">
      <c r="A253" s="4795" t="s">
        <v>2178</v>
      </c>
      <c r="B253" s="4795" t="s">
        <v>14</v>
      </c>
      <c r="C253" s="4795" t="s">
        <v>2803</v>
      </c>
      <c r="D253" s="4795" t="s">
        <v>2804</v>
      </c>
      <c r="E253" s="4795" t="s">
        <v>2805</v>
      </c>
      <c r="F253" s="4795" t="s">
        <v>2602</v>
      </c>
      <c r="G253" s="4795" t="s">
        <v>2806</v>
      </c>
      <c r="H253" s="4795" t="s">
        <v>18</v>
      </c>
      <c r="I253" s="4795" t="s">
        <v>995</v>
      </c>
    </row>
    <row customHeight="1" ht="11.25">
      <c r="A254" s="4795" t="s">
        <v>2178</v>
      </c>
      <c r="B254" s="4795" t="s">
        <v>14</v>
      </c>
      <c r="C254" s="4795" t="s">
        <v>2807</v>
      </c>
      <c r="D254" s="4795" t="s">
        <v>2808</v>
      </c>
      <c r="E254" s="4795" t="s">
        <v>2809</v>
      </c>
      <c r="F254" s="4795" t="s">
        <v>2238</v>
      </c>
      <c r="G254" s="4795" t="s">
        <v>2810</v>
      </c>
      <c r="H254" s="4795" t="s">
        <v>18</v>
      </c>
      <c r="I254" s="4795" t="s">
        <v>995</v>
      </c>
    </row>
    <row customHeight="1" ht="11.25">
      <c r="A255" s="4795" t="s">
        <v>2178</v>
      </c>
      <c r="B255" s="4795" t="s">
        <v>14</v>
      </c>
      <c r="C255" s="4795" t="s">
        <v>2811</v>
      </c>
      <c r="D255" s="4795" t="s">
        <v>2812</v>
      </c>
      <c r="E255" s="4795" t="s">
        <v>2813</v>
      </c>
      <c r="F255" s="4795" t="s">
        <v>2499</v>
      </c>
      <c r="G255" s="4795" t="s">
        <v>2814</v>
      </c>
      <c r="H255" s="4795" t="s">
        <v>18</v>
      </c>
      <c r="I255" s="4795" t="s">
        <v>995</v>
      </c>
    </row>
    <row customHeight="1" ht="11.25">
      <c r="A256" s="4795" t="s">
        <v>2178</v>
      </c>
      <c r="B256" s="4795" t="s">
        <v>14</v>
      </c>
      <c r="C256" s="4795" t="s">
        <v>2443</v>
      </c>
      <c r="D256" s="4795" t="s">
        <v>2444</v>
      </c>
      <c r="E256" s="4795" t="s">
        <v>2445</v>
      </c>
      <c r="F256" s="4795" t="s">
        <v>2411</v>
      </c>
      <c r="G256" s="4795" t="s">
        <v>18</v>
      </c>
      <c r="H256" s="4795" t="s">
        <v>18</v>
      </c>
      <c r="I256" s="4795" t="s">
        <v>995</v>
      </c>
    </row>
    <row customHeight="1" ht="11.25">
      <c r="A257" s="4795" t="s">
        <v>2178</v>
      </c>
      <c r="B257" s="4795" t="s">
        <v>14</v>
      </c>
      <c r="C257" s="4795" t="s">
        <v>2815</v>
      </c>
      <c r="D257" s="4795" t="s">
        <v>2816</v>
      </c>
      <c r="E257" s="4795" t="s">
        <v>2817</v>
      </c>
      <c r="F257" s="4795" t="s">
        <v>2359</v>
      </c>
      <c r="G257" s="4795" t="s">
        <v>18</v>
      </c>
      <c r="H257" s="4795" t="s">
        <v>18</v>
      </c>
      <c r="I257" s="4795" t="s">
        <v>995</v>
      </c>
    </row>
    <row customHeight="1" ht="11.25">
      <c r="A258" s="4795" t="s">
        <v>2178</v>
      </c>
      <c r="B258" s="4795" t="s">
        <v>14</v>
      </c>
      <c r="C258" s="4795" t="s">
        <v>2456</v>
      </c>
      <c r="D258" s="4795" t="s">
        <v>2457</v>
      </c>
      <c r="E258" s="4795" t="s">
        <v>2458</v>
      </c>
      <c r="F258" s="4795" t="s">
        <v>51</v>
      </c>
      <c r="G258" s="4795" t="s">
        <v>18</v>
      </c>
      <c r="H258" s="4795" t="s">
        <v>18</v>
      </c>
      <c r="I258" s="4795" t="s">
        <v>995</v>
      </c>
    </row>
    <row customHeight="1" ht="11.25">
      <c r="A259" s="4795" t="s">
        <v>2178</v>
      </c>
      <c r="B259" s="4795" t="s">
        <v>14</v>
      </c>
      <c r="C259" s="4795" t="s">
        <v>2459</v>
      </c>
      <c r="D259" s="4795" t="s">
        <v>2460</v>
      </c>
      <c r="E259" s="4795" t="s">
        <v>2461</v>
      </c>
      <c r="F259" s="4795" t="s">
        <v>2185</v>
      </c>
      <c r="G259" s="4795" t="s">
        <v>18</v>
      </c>
      <c r="H259" s="4795" t="s">
        <v>18</v>
      </c>
      <c r="I259" s="4795" t="s">
        <v>995</v>
      </c>
    </row>
    <row customHeight="1" ht="11.25">
      <c r="A260" s="4795" t="s">
        <v>2178</v>
      </c>
      <c r="B260" s="4795" t="s">
        <v>14</v>
      </c>
      <c r="C260" s="4795" t="s">
        <v>2474</v>
      </c>
      <c r="D260" s="4795" t="s">
        <v>2475</v>
      </c>
      <c r="E260" s="4795" t="s">
        <v>2476</v>
      </c>
      <c r="F260" s="4795" t="s">
        <v>2380</v>
      </c>
      <c r="G260" s="4795" t="s">
        <v>2477</v>
      </c>
      <c r="H260" s="4795" t="s">
        <v>18</v>
      </c>
      <c r="I260" s="4795" t="s">
        <v>995</v>
      </c>
    </row>
    <row customHeight="1" ht="11.25">
      <c r="A261" s="4795" t="s">
        <v>2178</v>
      </c>
      <c r="B261" s="4795" t="s">
        <v>14</v>
      </c>
      <c r="C261" s="4795" t="s">
        <v>2818</v>
      </c>
      <c r="D261" s="4795" t="s">
        <v>2819</v>
      </c>
      <c r="E261" s="4795" t="s">
        <v>2820</v>
      </c>
      <c r="F261" s="4795" t="s">
        <v>2366</v>
      </c>
      <c r="G261" s="4795" t="s">
        <v>18</v>
      </c>
      <c r="H261" s="4795" t="s">
        <v>18</v>
      </c>
      <c r="I261" s="4795" t="s">
        <v>995</v>
      </c>
    </row>
    <row customHeight="1" ht="11.25">
      <c r="A262" s="4795" t="s">
        <v>2178</v>
      </c>
      <c r="B262" s="4795" t="s">
        <v>14</v>
      </c>
      <c r="C262" s="4795" t="s">
        <v>2821</v>
      </c>
      <c r="D262" s="4795" t="s">
        <v>2822</v>
      </c>
      <c r="E262" s="4795" t="s">
        <v>2823</v>
      </c>
      <c r="F262" s="4795" t="s">
        <v>2312</v>
      </c>
      <c r="G262" s="4795" t="s">
        <v>18</v>
      </c>
      <c r="H262" s="4795" t="s">
        <v>18</v>
      </c>
      <c r="I262" s="4795" t="s">
        <v>995</v>
      </c>
    </row>
    <row customHeight="1" ht="11.25">
      <c r="A263" s="4795" t="s">
        <v>2178</v>
      </c>
      <c r="B263" s="4795" t="s">
        <v>14</v>
      </c>
      <c r="C263" s="4795" t="s">
        <v>2490</v>
      </c>
      <c r="D263" s="4795" t="s">
        <v>2491</v>
      </c>
      <c r="E263" s="4795" t="s">
        <v>2492</v>
      </c>
      <c r="F263" s="4795" t="s">
        <v>2185</v>
      </c>
      <c r="G263" s="4795" t="s">
        <v>18</v>
      </c>
      <c r="H263" s="4795" t="s">
        <v>18</v>
      </c>
      <c r="I263" s="4795" t="s">
        <v>995</v>
      </c>
    </row>
    <row customHeight="1" ht="11.25">
      <c r="A264" s="4795" t="s">
        <v>2178</v>
      </c>
      <c r="B264" s="4795" t="s">
        <v>14</v>
      </c>
      <c r="C264" s="4795" t="s">
        <v>2824</v>
      </c>
      <c r="D264" s="4795" t="s">
        <v>2825</v>
      </c>
      <c r="E264" s="4795" t="s">
        <v>2826</v>
      </c>
      <c r="F264" s="4795" t="s">
        <v>2827</v>
      </c>
      <c r="G264" s="4795" t="s">
        <v>18</v>
      </c>
      <c r="H264" s="4795" t="s">
        <v>18</v>
      </c>
      <c r="I264" s="4795" t="s">
        <v>995</v>
      </c>
    </row>
    <row customHeight="1" ht="11.25">
      <c r="A265" s="4795" t="s">
        <v>2178</v>
      </c>
      <c r="B265" s="4795" t="s">
        <v>14</v>
      </c>
      <c r="C265" s="4795" t="s">
        <v>2828</v>
      </c>
      <c r="D265" s="4795" t="s">
        <v>2829</v>
      </c>
      <c r="E265" s="4795" t="s">
        <v>2830</v>
      </c>
      <c r="F265" s="4795" t="s">
        <v>2380</v>
      </c>
      <c r="G265" s="4795" t="s">
        <v>18</v>
      </c>
      <c r="H265" s="4795" t="s">
        <v>18</v>
      </c>
      <c r="I265" s="4795" t="s">
        <v>995</v>
      </c>
    </row>
    <row customHeight="1" ht="11.25">
      <c r="A266" s="4795" t="s">
        <v>2178</v>
      </c>
      <c r="B266" s="4795" t="s">
        <v>14</v>
      </c>
      <c r="C266" s="4795" t="s">
        <v>2831</v>
      </c>
      <c r="D266" s="4795" t="s">
        <v>2832</v>
      </c>
      <c r="E266" s="4795" t="s">
        <v>2833</v>
      </c>
      <c r="F266" s="4795" t="s">
        <v>2210</v>
      </c>
      <c r="G266" s="4795" t="s">
        <v>18</v>
      </c>
      <c r="H266" s="4795" t="s">
        <v>18</v>
      </c>
      <c r="I266" s="4795" t="s">
        <v>995</v>
      </c>
    </row>
    <row customHeight="1" ht="11.25">
      <c r="A267" s="4795" t="s">
        <v>2178</v>
      </c>
      <c r="B267" s="4795" t="s">
        <v>14</v>
      </c>
      <c r="C267" s="4795" t="s">
        <v>2493</v>
      </c>
      <c r="D267" s="4795" t="s">
        <v>2494</v>
      </c>
      <c r="E267" s="4795" t="s">
        <v>2495</v>
      </c>
      <c r="F267" s="4795" t="s">
        <v>2359</v>
      </c>
      <c r="G267" s="4795" t="s">
        <v>2239</v>
      </c>
      <c r="H267" s="4795" t="s">
        <v>18</v>
      </c>
      <c r="I267" s="4795" t="s">
        <v>995</v>
      </c>
    </row>
    <row customHeight="1" ht="11.25">
      <c r="A268" s="4795" t="s">
        <v>2178</v>
      </c>
      <c r="B268" s="4795" t="s">
        <v>14</v>
      </c>
      <c r="C268" s="4795" t="s">
        <v>2834</v>
      </c>
      <c r="D268" s="4795" t="s">
        <v>2835</v>
      </c>
      <c r="E268" s="4795" t="s">
        <v>2836</v>
      </c>
      <c r="F268" s="4795" t="s">
        <v>2359</v>
      </c>
      <c r="G268" s="4795" t="s">
        <v>18</v>
      </c>
      <c r="H268" s="4795" t="s">
        <v>18</v>
      </c>
      <c r="I268" s="4795" t="s">
        <v>995</v>
      </c>
    </row>
    <row customHeight="1" ht="11.25">
      <c r="A269" s="4795" t="s">
        <v>2178</v>
      </c>
      <c r="B269" s="4795" t="s">
        <v>14</v>
      </c>
      <c r="C269" s="4795" t="s">
        <v>2503</v>
      </c>
      <c r="D269" s="4795" t="s">
        <v>2504</v>
      </c>
      <c r="E269" s="4795" t="s">
        <v>2505</v>
      </c>
      <c r="F269" s="4795" t="s">
        <v>2506</v>
      </c>
      <c r="G269" s="4795" t="s">
        <v>18</v>
      </c>
      <c r="H269" s="4795" t="s">
        <v>18</v>
      </c>
      <c r="I269" s="4795" t="s">
        <v>995</v>
      </c>
    </row>
    <row customHeight="1" ht="11.25">
      <c r="A270" s="4795" t="s">
        <v>2178</v>
      </c>
      <c r="B270" s="4795" t="s">
        <v>14</v>
      </c>
      <c r="C270" s="4795" t="s">
        <v>2837</v>
      </c>
      <c r="D270" s="4795" t="s">
        <v>2838</v>
      </c>
      <c r="E270" s="4795" t="s">
        <v>2839</v>
      </c>
      <c r="F270" s="4795" t="s">
        <v>2238</v>
      </c>
      <c r="G270" s="4795" t="s">
        <v>18</v>
      </c>
      <c r="H270" s="4795" t="s">
        <v>18</v>
      </c>
      <c r="I270" s="4795" t="s">
        <v>995</v>
      </c>
    </row>
    <row customHeight="1" ht="11.25">
      <c r="A271" s="4795" t="s">
        <v>2178</v>
      </c>
      <c r="B271" s="4795" t="s">
        <v>14</v>
      </c>
      <c r="C271" s="4795" t="s">
        <v>2517</v>
      </c>
      <c r="D271" s="4795" t="s">
        <v>2518</v>
      </c>
      <c r="E271" s="4795" t="s">
        <v>2519</v>
      </c>
      <c r="F271" s="4795" t="s">
        <v>2520</v>
      </c>
      <c r="G271" s="4795" t="s">
        <v>18</v>
      </c>
      <c r="H271" s="4795" t="s">
        <v>18</v>
      </c>
      <c r="I271" s="4795" t="s">
        <v>995</v>
      </c>
    </row>
    <row customHeight="1" ht="11.25">
      <c r="A272" s="4795" t="s">
        <v>2178</v>
      </c>
      <c r="B272" s="4795" t="s">
        <v>14</v>
      </c>
      <c r="C272" s="4795" t="s">
        <v>2840</v>
      </c>
      <c r="D272" s="4795" t="s">
        <v>2841</v>
      </c>
      <c r="E272" s="4795" t="s">
        <v>2842</v>
      </c>
      <c r="F272" s="4795" t="s">
        <v>2210</v>
      </c>
      <c r="G272" s="4795" t="s">
        <v>18</v>
      </c>
      <c r="H272" s="4795" t="s">
        <v>18</v>
      </c>
      <c r="I272" s="4795" t="s">
        <v>995</v>
      </c>
    </row>
    <row customHeight="1" ht="11.25">
      <c r="A273" s="4795" t="s">
        <v>2178</v>
      </c>
      <c r="B273" s="4795" t="s">
        <v>14</v>
      </c>
      <c r="C273" s="4795" t="s">
        <v>2843</v>
      </c>
      <c r="D273" s="4795" t="s">
        <v>2844</v>
      </c>
      <c r="E273" s="4795" t="s">
        <v>2845</v>
      </c>
      <c r="F273" s="4795" t="s">
        <v>2411</v>
      </c>
      <c r="G273" s="4795" t="s">
        <v>18</v>
      </c>
      <c r="H273" s="4795" t="s">
        <v>18</v>
      </c>
      <c r="I273" s="4795" t="s">
        <v>995</v>
      </c>
    </row>
    <row customHeight="1" ht="11.25">
      <c r="A274" s="4795" t="s">
        <v>2178</v>
      </c>
      <c r="B274" s="4795" t="s">
        <v>14</v>
      </c>
      <c r="C274" s="4795" t="s">
        <v>2846</v>
      </c>
      <c r="D274" s="4795" t="s">
        <v>2847</v>
      </c>
      <c r="E274" s="4795" t="s">
        <v>2848</v>
      </c>
      <c r="F274" s="4795" t="s">
        <v>2185</v>
      </c>
      <c r="G274" s="4795" t="s">
        <v>18</v>
      </c>
      <c r="H274" s="4795" t="s">
        <v>18</v>
      </c>
      <c r="I274" s="4795" t="s">
        <v>995</v>
      </c>
    </row>
    <row customHeight="1" ht="11.25">
      <c r="A275" s="4795" t="s">
        <v>2178</v>
      </c>
      <c r="B275" s="4795" t="s">
        <v>14</v>
      </c>
      <c r="C275" s="4795" t="s">
        <v>2849</v>
      </c>
      <c r="D275" s="4795" t="s">
        <v>2850</v>
      </c>
      <c r="E275" s="4795" t="s">
        <v>2851</v>
      </c>
      <c r="F275" s="4795" t="s">
        <v>2506</v>
      </c>
      <c r="G275" s="4795" t="s">
        <v>18</v>
      </c>
      <c r="H275" s="4795" t="s">
        <v>18</v>
      </c>
      <c r="I275" s="4795" t="s">
        <v>995</v>
      </c>
    </row>
    <row customHeight="1" ht="11.25">
      <c r="A276" s="4795" t="s">
        <v>2178</v>
      </c>
      <c r="B276" s="4795" t="s">
        <v>14</v>
      </c>
      <c r="C276" s="4795" t="s">
        <v>2852</v>
      </c>
      <c r="D276" s="4795" t="s">
        <v>2853</v>
      </c>
      <c r="E276" s="4795" t="s">
        <v>2854</v>
      </c>
      <c r="F276" s="4795" t="s">
        <v>2283</v>
      </c>
      <c r="G276" s="4795" t="s">
        <v>18</v>
      </c>
      <c r="H276" s="4795" t="s">
        <v>18</v>
      </c>
      <c r="I276" s="4795" t="s">
        <v>995</v>
      </c>
    </row>
    <row customHeight="1" ht="11.25">
      <c r="A277" s="4795" t="s">
        <v>2178</v>
      </c>
      <c r="B277" s="4795" t="s">
        <v>14</v>
      </c>
      <c r="C277" s="4795" t="s">
        <v>2855</v>
      </c>
      <c r="D277" s="4795" t="s">
        <v>2856</v>
      </c>
      <c r="E277" s="4795" t="s">
        <v>2857</v>
      </c>
      <c r="F277" s="4795" t="s">
        <v>2181</v>
      </c>
      <c r="G277" s="4795" t="s">
        <v>18</v>
      </c>
      <c r="H277" s="4795" t="s">
        <v>18</v>
      </c>
      <c r="I277" s="4795" t="s">
        <v>995</v>
      </c>
    </row>
    <row customHeight="1" ht="11.25">
      <c r="A278" s="4795" t="s">
        <v>2178</v>
      </c>
      <c r="B278" s="4795" t="s">
        <v>14</v>
      </c>
      <c r="C278" s="4795" t="s">
        <v>2858</v>
      </c>
      <c r="D278" s="4795" t="s">
        <v>2859</v>
      </c>
      <c r="E278" s="4795" t="s">
        <v>2860</v>
      </c>
      <c r="F278" s="4795" t="s">
        <v>2238</v>
      </c>
      <c r="G278" s="4795" t="s">
        <v>18</v>
      </c>
      <c r="H278" s="4795" t="s">
        <v>18</v>
      </c>
      <c r="I278" s="4795" t="s">
        <v>995</v>
      </c>
    </row>
    <row customHeight="1" ht="11.25">
      <c r="A279" s="4795" t="s">
        <v>2178</v>
      </c>
      <c r="B279" s="4795" t="s">
        <v>14</v>
      </c>
      <c r="C279" s="4795" t="s">
        <v>2861</v>
      </c>
      <c r="D279" s="4795" t="s">
        <v>2862</v>
      </c>
      <c r="E279" s="4795" t="s">
        <v>2863</v>
      </c>
      <c r="F279" s="4795" t="s">
        <v>2229</v>
      </c>
      <c r="G279" s="4795" t="s">
        <v>2864</v>
      </c>
      <c r="H279" s="4795" t="s">
        <v>18</v>
      </c>
      <c r="I279" s="4795" t="s">
        <v>995</v>
      </c>
    </row>
    <row customHeight="1" ht="11.25">
      <c r="A280" s="4795" t="s">
        <v>2178</v>
      </c>
      <c r="B280" s="4795" t="s">
        <v>14</v>
      </c>
      <c r="C280" s="4795" t="s">
        <v>2865</v>
      </c>
      <c r="D280" s="4795" t="s">
        <v>2866</v>
      </c>
      <c r="E280" s="4795" t="s">
        <v>2180</v>
      </c>
      <c r="F280" s="4795" t="s">
        <v>2181</v>
      </c>
      <c r="G280" s="4795" t="s">
        <v>18</v>
      </c>
      <c r="H280" s="4795" t="s">
        <v>18</v>
      </c>
      <c r="I280" s="4795" t="s">
        <v>995</v>
      </c>
    </row>
    <row customHeight="1" ht="11.25">
      <c r="A281" s="4795" t="s">
        <v>2178</v>
      </c>
      <c r="B281" s="4795" t="s">
        <v>14</v>
      </c>
      <c r="C281" s="4795" t="s">
        <v>2867</v>
      </c>
      <c r="D281" s="4795" t="s">
        <v>2868</v>
      </c>
      <c r="E281" s="4795" t="s">
        <v>2869</v>
      </c>
      <c r="F281" s="4795" t="s">
        <v>2185</v>
      </c>
      <c r="G281" s="4795" t="s">
        <v>18</v>
      </c>
      <c r="H281" s="4795" t="s">
        <v>18</v>
      </c>
      <c r="I281" s="4795" t="s">
        <v>995</v>
      </c>
    </row>
    <row customHeight="1" ht="11.25">
      <c r="A282" s="4795" t="s">
        <v>2178</v>
      </c>
      <c r="B282" s="4795" t="s">
        <v>14</v>
      </c>
      <c r="C282" s="4795" t="s">
        <v>2870</v>
      </c>
      <c r="D282" s="4795" t="s">
        <v>2871</v>
      </c>
      <c r="E282" s="4795" t="s">
        <v>2872</v>
      </c>
      <c r="F282" s="4795" t="s">
        <v>2185</v>
      </c>
      <c r="G282" s="4795" t="s">
        <v>18</v>
      </c>
      <c r="H282" s="4795" t="s">
        <v>18</v>
      </c>
      <c r="I282" s="4795" t="s">
        <v>995</v>
      </c>
    </row>
    <row customHeight="1" ht="11.25">
      <c r="A283" s="4795" t="s">
        <v>2178</v>
      </c>
      <c r="B283" s="4795" t="s">
        <v>14</v>
      </c>
      <c r="C283" s="4795" t="s">
        <v>2524</v>
      </c>
      <c r="D283" s="4795" t="s">
        <v>2525</v>
      </c>
      <c r="E283" s="4795" t="s">
        <v>2526</v>
      </c>
      <c r="F283" s="4795" t="s">
        <v>2193</v>
      </c>
      <c r="G283" s="4795" t="s">
        <v>18</v>
      </c>
      <c r="H283" s="4795" t="s">
        <v>18</v>
      </c>
      <c r="I283" s="4795" t="s">
        <v>995</v>
      </c>
    </row>
    <row customHeight="1" ht="11.25">
      <c r="A284" s="4795" t="s">
        <v>2178</v>
      </c>
      <c r="B284" s="4795" t="s">
        <v>14</v>
      </c>
      <c r="C284" s="4795" t="s">
        <v>2535</v>
      </c>
      <c r="D284" s="4795" t="s">
        <v>2536</v>
      </c>
      <c r="E284" s="4795" t="s">
        <v>2537</v>
      </c>
      <c r="F284" s="4795" t="s">
        <v>2506</v>
      </c>
      <c r="G284" s="4795" t="s">
        <v>2538</v>
      </c>
      <c r="H284" s="4795" t="s">
        <v>18</v>
      </c>
      <c r="I284" s="4795" t="s">
        <v>995</v>
      </c>
    </row>
    <row customHeight="1" ht="11.25">
      <c r="A285" s="4795" t="s">
        <v>2178</v>
      </c>
      <c r="B285" s="4795" t="s">
        <v>14</v>
      </c>
      <c r="C285" s="4795" t="s">
        <v>2539</v>
      </c>
      <c r="D285" s="4795" t="s">
        <v>2540</v>
      </c>
      <c r="E285" s="4795" t="s">
        <v>2541</v>
      </c>
      <c r="F285" s="4795" t="s">
        <v>2229</v>
      </c>
      <c r="G285" s="4795" t="s">
        <v>2542</v>
      </c>
      <c r="H285" s="4795" t="s">
        <v>18</v>
      </c>
      <c r="I285" s="4795" t="s">
        <v>995</v>
      </c>
    </row>
    <row customHeight="1" ht="11.25">
      <c r="A286" s="4795" t="s">
        <v>2178</v>
      </c>
      <c r="B286" s="4795" t="s">
        <v>14</v>
      </c>
      <c r="C286" s="4795" t="s">
        <v>2873</v>
      </c>
      <c r="D286" s="4795" t="s">
        <v>2874</v>
      </c>
      <c r="E286" s="4795" t="s">
        <v>2875</v>
      </c>
      <c r="F286" s="4795" t="s">
        <v>2283</v>
      </c>
      <c r="G286" s="4795" t="s">
        <v>18</v>
      </c>
      <c r="H286" s="4795" t="s">
        <v>18</v>
      </c>
      <c r="I286" s="4795" t="s">
        <v>995</v>
      </c>
    </row>
    <row customHeight="1" ht="11.25">
      <c r="A287" s="4795" t="s">
        <v>2178</v>
      </c>
      <c r="B287" s="4795" t="s">
        <v>14</v>
      </c>
      <c r="C287" s="4795" t="s">
        <v>2876</v>
      </c>
      <c r="D287" s="4795" t="s">
        <v>2877</v>
      </c>
      <c r="E287" s="4795" t="s">
        <v>2878</v>
      </c>
      <c r="F287" s="4795" t="s">
        <v>2411</v>
      </c>
      <c r="G287" s="4795" t="s">
        <v>18</v>
      </c>
      <c r="H287" s="4795" t="s">
        <v>18</v>
      </c>
      <c r="I287" s="4795" t="s">
        <v>995</v>
      </c>
    </row>
    <row customHeight="1" ht="11.25">
      <c r="A288" s="4795" t="s">
        <v>2178</v>
      </c>
      <c r="B288" s="4795" t="s">
        <v>14</v>
      </c>
      <c r="C288" s="4795" t="s">
        <v>2879</v>
      </c>
      <c r="D288" s="4795" t="s">
        <v>2880</v>
      </c>
      <c r="E288" s="4795" t="s">
        <v>2881</v>
      </c>
      <c r="F288" s="4795" t="s">
        <v>2882</v>
      </c>
      <c r="G288" s="4795" t="s">
        <v>18</v>
      </c>
      <c r="H288" s="4795" t="s">
        <v>18</v>
      </c>
      <c r="I288" s="4795" t="s">
        <v>995</v>
      </c>
    </row>
    <row customHeight="1" ht="11.25">
      <c r="A289" s="4795" t="s">
        <v>2178</v>
      </c>
      <c r="B289" s="4795" t="s">
        <v>14</v>
      </c>
      <c r="C289" s="4795" t="s">
        <v>2883</v>
      </c>
      <c r="D289" s="4795" t="s">
        <v>2884</v>
      </c>
      <c r="E289" s="4795" t="s">
        <v>2885</v>
      </c>
      <c r="F289" s="4795" t="s">
        <v>2312</v>
      </c>
      <c r="G289" s="4795" t="s">
        <v>18</v>
      </c>
      <c r="H289" s="4795" t="s">
        <v>18</v>
      </c>
      <c r="I289" s="4795" t="s">
        <v>995</v>
      </c>
    </row>
    <row customHeight="1" ht="11.25">
      <c r="A290" s="4795" t="s">
        <v>2178</v>
      </c>
      <c r="B290" s="4795" t="s">
        <v>14</v>
      </c>
      <c r="C290" s="4795" t="s">
        <v>2553</v>
      </c>
      <c r="D290" s="4795" t="s">
        <v>2554</v>
      </c>
      <c r="E290" s="4795" t="s">
        <v>2555</v>
      </c>
      <c r="F290" s="4795" t="s">
        <v>2380</v>
      </c>
      <c r="G290" s="4795" t="s">
        <v>18</v>
      </c>
      <c r="H290" s="4795" t="s">
        <v>18</v>
      </c>
      <c r="I290" s="4795" t="s">
        <v>995</v>
      </c>
    </row>
    <row customHeight="1" ht="11.25">
      <c r="A291" s="4795" t="s">
        <v>2178</v>
      </c>
      <c r="B291" s="4795" t="s">
        <v>14</v>
      </c>
      <c r="C291" s="4795" t="s">
        <v>2556</v>
      </c>
      <c r="D291" s="4795" t="s">
        <v>2557</v>
      </c>
      <c r="E291" s="4795" t="s">
        <v>2558</v>
      </c>
      <c r="F291" s="4795" t="s">
        <v>2559</v>
      </c>
      <c r="G291" s="4795" t="s">
        <v>2560</v>
      </c>
      <c r="H291" s="4795" t="s">
        <v>18</v>
      </c>
      <c r="I291" s="4795" t="s">
        <v>995</v>
      </c>
    </row>
    <row customHeight="1" ht="11.25">
      <c r="A292" s="4795" t="s">
        <v>2178</v>
      </c>
      <c r="B292" s="4795" t="s">
        <v>14</v>
      </c>
      <c r="C292" s="4795" t="s">
        <v>2561</v>
      </c>
      <c r="D292" s="4795" t="s">
        <v>2562</v>
      </c>
      <c r="E292" s="4795" t="s">
        <v>2563</v>
      </c>
      <c r="F292" s="4795" t="s">
        <v>2380</v>
      </c>
      <c r="G292" s="4795" t="s">
        <v>18</v>
      </c>
      <c r="H292" s="4795" t="s">
        <v>18</v>
      </c>
      <c r="I292" s="4795" t="s">
        <v>995</v>
      </c>
    </row>
    <row customHeight="1" ht="11.25">
      <c r="A293" s="4795" t="s">
        <v>2178</v>
      </c>
      <c r="B293" s="4795" t="s">
        <v>14</v>
      </c>
      <c r="C293" s="4795" t="s">
        <v>2567</v>
      </c>
      <c r="D293" s="4795" t="s">
        <v>2568</v>
      </c>
      <c r="E293" s="4795" t="s">
        <v>2569</v>
      </c>
      <c r="F293" s="4795" t="s">
        <v>2312</v>
      </c>
      <c r="G293" s="4795" t="s">
        <v>18</v>
      </c>
      <c r="H293" s="4795" t="s">
        <v>18</v>
      </c>
      <c r="I293" s="4795" t="s">
        <v>995</v>
      </c>
    </row>
    <row customHeight="1" ht="11.25">
      <c r="A294" s="4795" t="s">
        <v>2178</v>
      </c>
      <c r="B294" s="4795" t="s">
        <v>14</v>
      </c>
      <c r="C294" s="4795" t="s">
        <v>2886</v>
      </c>
      <c r="D294" s="4795" t="s">
        <v>2887</v>
      </c>
      <c r="E294" s="4795" t="s">
        <v>2888</v>
      </c>
      <c r="F294" s="4795" t="s">
        <v>2699</v>
      </c>
      <c r="G294" s="4795" t="s">
        <v>18</v>
      </c>
      <c r="H294" s="4795" t="s">
        <v>18</v>
      </c>
      <c r="I294" s="4795" t="s">
        <v>995</v>
      </c>
    </row>
    <row customHeight="1" ht="11.25">
      <c r="A295" s="4795" t="s">
        <v>2178</v>
      </c>
      <c r="B295" s="4795" t="s">
        <v>14</v>
      </c>
      <c r="C295" s="4795" t="s">
        <v>2889</v>
      </c>
      <c r="D295" s="4795" t="s">
        <v>2890</v>
      </c>
      <c r="E295" s="4795" t="s">
        <v>2891</v>
      </c>
      <c r="F295" s="4795" t="s">
        <v>2699</v>
      </c>
      <c r="G295" s="4795" t="s">
        <v>18</v>
      </c>
      <c r="H295" s="4795" t="s">
        <v>18</v>
      </c>
      <c r="I295" s="4795" t="s">
        <v>995</v>
      </c>
    </row>
    <row customHeight="1" ht="11.25">
      <c r="A296" s="4795" t="s">
        <v>2178</v>
      </c>
      <c r="B296" s="4795" t="s">
        <v>14</v>
      </c>
      <c r="C296" s="4795" t="s">
        <v>2892</v>
      </c>
      <c r="D296" s="4795" t="s">
        <v>2893</v>
      </c>
      <c r="E296" s="4795" t="s">
        <v>2894</v>
      </c>
      <c r="F296" s="4795" t="s">
        <v>2210</v>
      </c>
      <c r="G296" s="4795" t="s">
        <v>18</v>
      </c>
      <c r="H296" s="4795" t="s">
        <v>18</v>
      </c>
      <c r="I296" s="4795" t="s">
        <v>995</v>
      </c>
    </row>
    <row customHeight="1" ht="11.25">
      <c r="A297" s="4795" t="s">
        <v>2178</v>
      </c>
      <c r="B297" s="4795" t="s">
        <v>14</v>
      </c>
      <c r="C297" s="4795" t="s">
        <v>2895</v>
      </c>
      <c r="D297" s="4795" t="s">
        <v>2896</v>
      </c>
      <c r="E297" s="4795" t="s">
        <v>2897</v>
      </c>
      <c r="F297" s="4795" t="s">
        <v>2576</v>
      </c>
      <c r="G297" s="4795" t="s">
        <v>18</v>
      </c>
      <c r="H297" s="4795" t="s">
        <v>18</v>
      </c>
      <c r="I297" s="4795" t="s">
        <v>995</v>
      </c>
    </row>
    <row customHeight="1" ht="11.25">
      <c r="A298" s="4795" t="s">
        <v>2178</v>
      </c>
      <c r="B298" s="4795" t="s">
        <v>14</v>
      </c>
      <c r="C298" s="4795" t="s">
        <v>2898</v>
      </c>
      <c r="D298" s="4795" t="s">
        <v>2899</v>
      </c>
      <c r="E298" s="4795" t="s">
        <v>2900</v>
      </c>
      <c r="F298" s="4795" t="s">
        <v>2366</v>
      </c>
      <c r="G298" s="4795" t="s">
        <v>18</v>
      </c>
      <c r="H298" s="4795" t="s">
        <v>18</v>
      </c>
      <c r="I298" s="4795" t="s">
        <v>995</v>
      </c>
    </row>
    <row customHeight="1" ht="11.25">
      <c r="A299" s="4795" t="s">
        <v>2178</v>
      </c>
      <c r="B299" s="4795" t="s">
        <v>14</v>
      </c>
      <c r="C299" s="4795" t="s">
        <v>2573</v>
      </c>
      <c r="D299" s="4795" t="s">
        <v>2574</v>
      </c>
      <c r="E299" s="4795" t="s">
        <v>2575</v>
      </c>
      <c r="F299" s="4795" t="s">
        <v>2576</v>
      </c>
      <c r="G299" s="4795" t="s">
        <v>18</v>
      </c>
      <c r="H299" s="4795" t="s">
        <v>18</v>
      </c>
      <c r="I299" s="4795" t="s">
        <v>995</v>
      </c>
    </row>
    <row customHeight="1" ht="11.25">
      <c r="A300" s="4795" t="s">
        <v>2178</v>
      </c>
      <c r="B300" s="4795" t="s">
        <v>14</v>
      </c>
      <c r="C300" s="4795" t="s">
        <v>2901</v>
      </c>
      <c r="D300" s="4795" t="s">
        <v>2902</v>
      </c>
      <c r="E300" s="4795" t="s">
        <v>2903</v>
      </c>
      <c r="F300" s="4795" t="s">
        <v>2312</v>
      </c>
      <c r="G300" s="4795" t="s">
        <v>18</v>
      </c>
      <c r="H300" s="4795" t="s">
        <v>18</v>
      </c>
      <c r="I300" s="4795" t="s">
        <v>995</v>
      </c>
    </row>
    <row customHeight="1" ht="11.25">
      <c r="A301" s="4795" t="s">
        <v>2178</v>
      </c>
      <c r="B301" s="4795" t="s">
        <v>14</v>
      </c>
      <c r="C301" s="4795" t="s">
        <v>2904</v>
      </c>
      <c r="D301" s="4795" t="s">
        <v>2905</v>
      </c>
      <c r="E301" s="4795" t="s">
        <v>2906</v>
      </c>
      <c r="F301" s="4795" t="s">
        <v>2758</v>
      </c>
      <c r="G301" s="4795" t="s">
        <v>2907</v>
      </c>
      <c r="H301" s="4795" t="s">
        <v>18</v>
      </c>
      <c r="I301" s="4795" t="s">
        <v>995</v>
      </c>
    </row>
    <row customHeight="1" ht="11.25">
      <c r="A302" s="4795" t="s">
        <v>2178</v>
      </c>
      <c r="B302" s="4795" t="s">
        <v>14</v>
      </c>
      <c r="C302" s="4795" t="s">
        <v>2908</v>
      </c>
      <c r="D302" s="4795" t="s">
        <v>2909</v>
      </c>
      <c r="E302" s="4795" t="s">
        <v>2910</v>
      </c>
      <c r="F302" s="4795" t="s">
        <v>2283</v>
      </c>
      <c r="G302" s="4795" t="s">
        <v>18</v>
      </c>
      <c r="H302" s="4795" t="s">
        <v>18</v>
      </c>
      <c r="I302" s="4795" t="s">
        <v>995</v>
      </c>
    </row>
    <row customHeight="1" ht="11.25">
      <c r="A303" s="4795" t="s">
        <v>2178</v>
      </c>
      <c r="B303" s="4795" t="s">
        <v>14</v>
      </c>
      <c r="C303" s="4795" t="s">
        <v>2911</v>
      </c>
      <c r="D303" s="4795" t="s">
        <v>2912</v>
      </c>
      <c r="E303" s="4795" t="s">
        <v>2913</v>
      </c>
      <c r="F303" s="4795" t="s">
        <v>2304</v>
      </c>
      <c r="G303" s="4795" t="s">
        <v>18</v>
      </c>
      <c r="H303" s="4795" t="s">
        <v>18</v>
      </c>
      <c r="I303" s="4795" t="s">
        <v>995</v>
      </c>
    </row>
    <row customHeight="1" ht="11.25">
      <c r="A304" s="4795" t="s">
        <v>2178</v>
      </c>
      <c r="B304" s="4795" t="s">
        <v>14</v>
      </c>
      <c r="C304" s="4795" t="s">
        <v>2914</v>
      </c>
      <c r="D304" s="4795" t="s">
        <v>2915</v>
      </c>
      <c r="E304" s="4795" t="s">
        <v>2916</v>
      </c>
      <c r="F304" s="4795" t="s">
        <v>2185</v>
      </c>
      <c r="G304" s="4795" t="s">
        <v>18</v>
      </c>
      <c r="H304" s="4795" t="s">
        <v>18</v>
      </c>
      <c r="I304" s="4795" t="s">
        <v>995</v>
      </c>
    </row>
    <row customHeight="1" ht="11.25">
      <c r="A305" s="4795" t="s">
        <v>2178</v>
      </c>
      <c r="B305" s="4795" t="s">
        <v>14</v>
      </c>
      <c r="C305" s="4795" t="s">
        <v>2917</v>
      </c>
      <c r="D305" s="4795" t="s">
        <v>2918</v>
      </c>
      <c r="E305" s="4795" t="s">
        <v>2919</v>
      </c>
      <c r="F305" s="4795" t="s">
        <v>2340</v>
      </c>
      <c r="G305" s="4795" t="s">
        <v>18</v>
      </c>
      <c r="H305" s="4795" t="s">
        <v>18</v>
      </c>
      <c r="I305" s="4795" t="s">
        <v>995</v>
      </c>
    </row>
    <row customHeight="1" ht="11.25">
      <c r="A306" s="4795" t="s">
        <v>2178</v>
      </c>
      <c r="B306" s="4795" t="s">
        <v>14</v>
      </c>
      <c r="C306" s="4795" t="s">
        <v>2920</v>
      </c>
      <c r="D306" s="4795" t="s">
        <v>2921</v>
      </c>
      <c r="E306" s="4795" t="s">
        <v>2922</v>
      </c>
      <c r="F306" s="4795" t="s">
        <v>2699</v>
      </c>
      <c r="G306" s="4795" t="s">
        <v>2923</v>
      </c>
      <c r="H306" s="4795" t="s">
        <v>18</v>
      </c>
      <c r="I306" s="4795" t="s">
        <v>995</v>
      </c>
    </row>
    <row customHeight="1" ht="11.25">
      <c r="A307" s="4795" t="s">
        <v>2178</v>
      </c>
      <c r="B307" s="4795" t="s">
        <v>14</v>
      </c>
      <c r="C307" s="4795" t="s">
        <v>2924</v>
      </c>
      <c r="D307" s="4795" t="s">
        <v>2925</v>
      </c>
      <c r="E307" s="4795" t="s">
        <v>2926</v>
      </c>
      <c r="F307" s="4795" t="s">
        <v>2238</v>
      </c>
      <c r="G307" s="4795" t="s">
        <v>18</v>
      </c>
      <c r="H307" s="4795" t="s">
        <v>18</v>
      </c>
      <c r="I307" s="4795" t="s">
        <v>995</v>
      </c>
    </row>
    <row customHeight="1" ht="11.25">
      <c r="A308" s="4795" t="s">
        <v>2178</v>
      </c>
      <c r="B308" s="4795" t="s">
        <v>14</v>
      </c>
      <c r="C308" s="4795" t="s">
        <v>2603</v>
      </c>
      <c r="D308" s="4795" t="s">
        <v>2604</v>
      </c>
      <c r="E308" s="4795" t="s">
        <v>2605</v>
      </c>
      <c r="F308" s="4795" t="s">
        <v>2210</v>
      </c>
      <c r="G308" s="4795" t="s">
        <v>18</v>
      </c>
      <c r="H308" s="4795" t="s">
        <v>18</v>
      </c>
      <c r="I308" s="4795" t="s">
        <v>995</v>
      </c>
    </row>
    <row customHeight="1" ht="11.25">
      <c r="A309" s="4795" t="s">
        <v>2178</v>
      </c>
      <c r="B309" s="4795" t="s">
        <v>14</v>
      </c>
      <c r="C309" s="4795" t="s">
        <v>18</v>
      </c>
      <c r="D309" s="4795" t="s">
        <v>2179</v>
      </c>
      <c r="E309" s="4795" t="s">
        <v>2180</v>
      </c>
      <c r="F309" s="4795" t="s">
        <v>2181</v>
      </c>
      <c r="G309" s="4795" t="s">
        <v>18</v>
      </c>
      <c r="H309" s="4795" t="s">
        <v>18</v>
      </c>
      <c r="I309" s="4795" t="s">
        <v>599</v>
      </c>
    </row>
    <row customHeight="1" ht="11.25">
      <c r="A310" s="4795" t="s">
        <v>2178</v>
      </c>
      <c r="B310" s="4795" t="s">
        <v>14</v>
      </c>
      <c r="C310" s="4795" t="s">
        <v>2182</v>
      </c>
      <c r="D310" s="4795" t="s">
        <v>2183</v>
      </c>
      <c r="E310" s="4795" t="s">
        <v>2184</v>
      </c>
      <c r="F310" s="4795" t="s">
        <v>2185</v>
      </c>
      <c r="G310" s="4795" t="s">
        <v>18</v>
      </c>
      <c r="H310" s="4795" t="s">
        <v>18</v>
      </c>
      <c r="I310" s="4795" t="s">
        <v>599</v>
      </c>
    </row>
    <row customHeight="1" ht="11.25">
      <c r="A311" s="4795" t="s">
        <v>2178</v>
      </c>
      <c r="B311" s="4795" t="s">
        <v>14</v>
      </c>
      <c r="C311" s="4795" t="s">
        <v>2190</v>
      </c>
      <c r="D311" s="4795" t="s">
        <v>2191</v>
      </c>
      <c r="E311" s="4795" t="s">
        <v>2192</v>
      </c>
      <c r="F311" s="4795" t="s">
        <v>2193</v>
      </c>
      <c r="G311" s="4795" t="s">
        <v>18</v>
      </c>
      <c r="H311" s="4795" t="s">
        <v>18</v>
      </c>
      <c r="I311" s="4795" t="s">
        <v>599</v>
      </c>
    </row>
    <row customHeight="1" ht="11.25">
      <c r="A312" s="4795" t="s">
        <v>2178</v>
      </c>
      <c r="B312" s="4795" t="s">
        <v>14</v>
      </c>
      <c r="C312" s="4795" t="s">
        <v>2198</v>
      </c>
      <c r="D312" s="4795" t="s">
        <v>2195</v>
      </c>
      <c r="E312" s="4795" t="s">
        <v>2196</v>
      </c>
      <c r="F312" s="4795" t="s">
        <v>2199</v>
      </c>
      <c r="G312" s="4795" t="s">
        <v>2200</v>
      </c>
      <c r="H312" s="4795" t="s">
        <v>18</v>
      </c>
      <c r="I312" s="4795" t="s">
        <v>599</v>
      </c>
    </row>
    <row customHeight="1" ht="11.25">
      <c r="A313" s="4795" t="s">
        <v>2178</v>
      </c>
      <c r="B313" s="4795" t="s">
        <v>14</v>
      </c>
      <c r="C313" s="4795" t="s">
        <v>2207</v>
      </c>
      <c r="D313" s="4795" t="s">
        <v>2208</v>
      </c>
      <c r="E313" s="4795" t="s">
        <v>2209</v>
      </c>
      <c r="F313" s="4795" t="s">
        <v>2210</v>
      </c>
      <c r="G313" s="4795" t="s">
        <v>18</v>
      </c>
      <c r="H313" s="4795" t="s">
        <v>18</v>
      </c>
      <c r="I313" s="4795" t="s">
        <v>599</v>
      </c>
    </row>
    <row customHeight="1" ht="11.25">
      <c r="A314" s="4795" t="s">
        <v>2178</v>
      </c>
      <c r="B314" s="4795" t="s">
        <v>14</v>
      </c>
      <c r="C314" s="4795" t="s">
        <v>2215</v>
      </c>
      <c r="D314" s="4795" t="s">
        <v>2216</v>
      </c>
      <c r="E314" s="4795" t="s">
        <v>2217</v>
      </c>
      <c r="F314" s="4795" t="s">
        <v>51</v>
      </c>
      <c r="G314" s="4795" t="s">
        <v>18</v>
      </c>
      <c r="H314" s="4795" t="s">
        <v>18</v>
      </c>
      <c r="I314" s="4795" t="s">
        <v>599</v>
      </c>
    </row>
    <row customHeight="1" ht="11.25">
      <c r="A315" s="4795" t="s">
        <v>2178</v>
      </c>
      <c r="B315" s="4795" t="s">
        <v>14</v>
      </c>
      <c r="C315" s="4795" t="s">
        <v>2628</v>
      </c>
      <c r="D315" s="4795" t="s">
        <v>2629</v>
      </c>
      <c r="E315" s="4795" t="s">
        <v>2630</v>
      </c>
      <c r="F315" s="4795" t="s">
        <v>2424</v>
      </c>
      <c r="G315" s="4795" t="s">
        <v>2631</v>
      </c>
      <c r="H315" s="4795" t="s">
        <v>18</v>
      </c>
      <c r="I315" s="4795" t="s">
        <v>599</v>
      </c>
    </row>
    <row customHeight="1" ht="11.25">
      <c r="A316" s="4795" t="s">
        <v>2178</v>
      </c>
      <c r="B316" s="4795" t="s">
        <v>14</v>
      </c>
      <c r="C316" s="4795" t="s">
        <v>2927</v>
      </c>
      <c r="D316" s="4795" t="s">
        <v>2928</v>
      </c>
      <c r="E316" s="4795" t="s">
        <v>2929</v>
      </c>
      <c r="F316" s="4795" t="s">
        <v>2181</v>
      </c>
      <c r="G316" s="4795" t="s">
        <v>18</v>
      </c>
      <c r="H316" s="4795" t="s">
        <v>18</v>
      </c>
      <c r="I316" s="4795" t="s">
        <v>599</v>
      </c>
    </row>
    <row customHeight="1" ht="11.25">
      <c r="A317" s="4795" t="s">
        <v>2178</v>
      </c>
      <c r="B317" s="4795" t="s">
        <v>14</v>
      </c>
      <c r="C317" s="4795" t="s">
        <v>2223</v>
      </c>
      <c r="D317" s="4795" t="s">
        <v>2224</v>
      </c>
      <c r="E317" s="4795" t="s">
        <v>2225</v>
      </c>
      <c r="F317" s="4795" t="s">
        <v>2189</v>
      </c>
      <c r="G317" s="4795" t="s">
        <v>18</v>
      </c>
      <c r="H317" s="4795" t="s">
        <v>18</v>
      </c>
      <c r="I317" s="4795" t="s">
        <v>599</v>
      </c>
    </row>
    <row customHeight="1" ht="11.25">
      <c r="A318" s="4795" t="s">
        <v>2178</v>
      </c>
      <c r="B318" s="4795" t="s">
        <v>14</v>
      </c>
      <c r="C318" s="4795" t="s">
        <v>2226</v>
      </c>
      <c r="D318" s="4795" t="s">
        <v>2227</v>
      </c>
      <c r="E318" s="4795" t="s">
        <v>2228</v>
      </c>
      <c r="F318" s="4795" t="s">
        <v>2229</v>
      </c>
      <c r="G318" s="4795" t="s">
        <v>18</v>
      </c>
      <c r="H318" s="4795" t="s">
        <v>18</v>
      </c>
      <c r="I318" s="4795" t="s">
        <v>599</v>
      </c>
    </row>
    <row customHeight="1" ht="11.25">
      <c r="A319" s="4795" t="s">
        <v>2178</v>
      </c>
      <c r="B319" s="4795" t="s">
        <v>14</v>
      </c>
      <c r="C319" s="4795" t="s">
        <v>2632</v>
      </c>
      <c r="D319" s="4795" t="s">
        <v>2633</v>
      </c>
      <c r="E319" s="4795" t="s">
        <v>2634</v>
      </c>
      <c r="F319" s="4795" t="s">
        <v>2210</v>
      </c>
      <c r="G319" s="4795" t="s">
        <v>2635</v>
      </c>
      <c r="H319" s="4795" t="s">
        <v>18</v>
      </c>
      <c r="I319" s="4795" t="s">
        <v>599</v>
      </c>
    </row>
    <row customHeight="1" ht="11.25">
      <c r="A320" s="4795" t="s">
        <v>2178</v>
      </c>
      <c r="B320" s="4795" t="s">
        <v>14</v>
      </c>
      <c r="C320" s="4795" t="s">
        <v>2636</v>
      </c>
      <c r="D320" s="4795" t="s">
        <v>2637</v>
      </c>
      <c r="E320" s="4795" t="s">
        <v>2638</v>
      </c>
      <c r="F320" s="4795" t="s">
        <v>2189</v>
      </c>
      <c r="G320" s="4795" t="s">
        <v>18</v>
      </c>
      <c r="H320" s="4795" t="s">
        <v>18</v>
      </c>
      <c r="I320" s="4795" t="s">
        <v>599</v>
      </c>
    </row>
    <row customHeight="1" ht="11.25">
      <c r="A321" s="4795" t="s">
        <v>2178</v>
      </c>
      <c r="B321" s="4795" t="s">
        <v>14</v>
      </c>
      <c r="C321" s="4795" t="s">
        <v>2243</v>
      </c>
      <c r="D321" s="4795" t="s">
        <v>2244</v>
      </c>
      <c r="E321" s="4795" t="s">
        <v>2245</v>
      </c>
      <c r="F321" s="4795" t="s">
        <v>2246</v>
      </c>
      <c r="G321" s="4795" t="s">
        <v>18</v>
      </c>
      <c r="H321" s="4795" t="s">
        <v>18</v>
      </c>
      <c r="I321" s="4795" t="s">
        <v>599</v>
      </c>
    </row>
    <row customHeight="1" ht="11.25">
      <c r="A322" s="4795" t="s">
        <v>2178</v>
      </c>
      <c r="B322" s="4795" t="s">
        <v>14</v>
      </c>
      <c r="C322" s="4795" t="s">
        <v>2639</v>
      </c>
      <c r="D322" s="4795" t="s">
        <v>2640</v>
      </c>
      <c r="E322" s="4795" t="s">
        <v>2641</v>
      </c>
      <c r="F322" s="4795" t="s">
        <v>2602</v>
      </c>
      <c r="G322" s="4795" t="s">
        <v>2642</v>
      </c>
      <c r="H322" s="4795" t="s">
        <v>18</v>
      </c>
      <c r="I322" s="4795" t="s">
        <v>599</v>
      </c>
    </row>
    <row customHeight="1" ht="11.25">
      <c r="A323" s="4795" t="s">
        <v>2178</v>
      </c>
      <c r="B323" s="4795" t="s">
        <v>14</v>
      </c>
      <c r="C323" s="4795" t="s">
        <v>2255</v>
      </c>
      <c r="D323" s="4795" t="s">
        <v>2256</v>
      </c>
      <c r="E323" s="4795" t="s">
        <v>2257</v>
      </c>
      <c r="F323" s="4795" t="s">
        <v>2181</v>
      </c>
      <c r="G323" s="4795" t="s">
        <v>2258</v>
      </c>
      <c r="H323" s="4795" t="s">
        <v>18</v>
      </c>
      <c r="I323" s="4795" t="s">
        <v>599</v>
      </c>
    </row>
    <row customHeight="1" ht="11.25">
      <c r="A324" s="4795" t="s">
        <v>2178</v>
      </c>
      <c r="B324" s="4795" t="s">
        <v>14</v>
      </c>
      <c r="C324" s="4795" t="s">
        <v>2643</v>
      </c>
      <c r="D324" s="4795" t="s">
        <v>2644</v>
      </c>
      <c r="E324" s="4795" t="s">
        <v>2645</v>
      </c>
      <c r="F324" s="4795" t="s">
        <v>2646</v>
      </c>
      <c r="G324" s="4795" t="s">
        <v>18</v>
      </c>
      <c r="H324" s="4795" t="s">
        <v>18</v>
      </c>
      <c r="I324" s="4795" t="s">
        <v>599</v>
      </c>
    </row>
    <row customHeight="1" ht="11.25">
      <c r="A325" s="4795" t="s">
        <v>2178</v>
      </c>
      <c r="B325" s="4795" t="s">
        <v>14</v>
      </c>
      <c r="C325" s="4795" t="s">
        <v>2277</v>
      </c>
      <c r="D325" s="4795" t="s">
        <v>2278</v>
      </c>
      <c r="E325" s="4795" t="s">
        <v>2275</v>
      </c>
      <c r="F325" s="4795" t="s">
        <v>2279</v>
      </c>
      <c r="G325" s="4795" t="s">
        <v>18</v>
      </c>
      <c r="H325" s="4795" t="s">
        <v>18</v>
      </c>
      <c r="I325" s="4795" t="s">
        <v>599</v>
      </c>
    </row>
    <row customHeight="1" ht="11.25">
      <c r="A326" s="4795" t="s">
        <v>2178</v>
      </c>
      <c r="B326" s="4795" t="s">
        <v>14</v>
      </c>
      <c r="C326" s="4795" t="s">
        <v>2647</v>
      </c>
      <c r="D326" s="4795" t="s">
        <v>2648</v>
      </c>
      <c r="E326" s="4795" t="s">
        <v>2649</v>
      </c>
      <c r="F326" s="4795" t="s">
        <v>2312</v>
      </c>
      <c r="G326" s="4795" t="s">
        <v>18</v>
      </c>
      <c r="H326" s="4795" t="s">
        <v>18</v>
      </c>
      <c r="I326" s="4795" t="s">
        <v>599</v>
      </c>
    </row>
    <row customHeight="1" ht="11.25">
      <c r="A327" s="4795" t="s">
        <v>2178</v>
      </c>
      <c r="B327" s="4795" t="s">
        <v>14</v>
      </c>
      <c r="C327" s="4795" t="s">
        <v>2653</v>
      </c>
      <c r="D327" s="4795" t="s">
        <v>2654</v>
      </c>
      <c r="E327" s="4795" t="s">
        <v>2655</v>
      </c>
      <c r="F327" s="4795" t="s">
        <v>423</v>
      </c>
      <c r="G327" s="4795" t="s">
        <v>18</v>
      </c>
      <c r="H327" s="4795" t="s">
        <v>18</v>
      </c>
      <c r="I327" s="4795" t="s">
        <v>599</v>
      </c>
    </row>
    <row customHeight="1" ht="11.25">
      <c r="A328" s="4795" t="s">
        <v>2178</v>
      </c>
      <c r="B328" s="4795" t="s">
        <v>14</v>
      </c>
      <c r="C328" s="4795" t="s">
        <v>2659</v>
      </c>
      <c r="D328" s="4795" t="s">
        <v>2324</v>
      </c>
      <c r="E328" s="4795" t="s">
        <v>2325</v>
      </c>
      <c r="F328" s="4795" t="s">
        <v>2660</v>
      </c>
      <c r="G328" s="4795" t="s">
        <v>18</v>
      </c>
      <c r="H328" s="4795" t="s">
        <v>18</v>
      </c>
      <c r="I328" s="4795" t="s">
        <v>599</v>
      </c>
    </row>
    <row customHeight="1" ht="11.25">
      <c r="A329" s="4795" t="s">
        <v>2178</v>
      </c>
      <c r="B329" s="4795" t="s">
        <v>14</v>
      </c>
      <c r="C329" s="4795" t="s">
        <v>2609</v>
      </c>
      <c r="D329" s="4795" t="s">
        <v>2324</v>
      </c>
      <c r="E329" s="4795" t="s">
        <v>2325</v>
      </c>
      <c r="F329" s="4795" t="s">
        <v>2610</v>
      </c>
      <c r="G329" s="4795" t="s">
        <v>18</v>
      </c>
      <c r="H329" s="4795" t="s">
        <v>18</v>
      </c>
      <c r="I329" s="4795" t="s">
        <v>599</v>
      </c>
    </row>
    <row customHeight="1" ht="11.25">
      <c r="A330" s="4795" t="s">
        <v>2178</v>
      </c>
      <c r="B330" s="4795" t="s">
        <v>14</v>
      </c>
      <c r="C330" s="4795" t="s">
        <v>2611</v>
      </c>
      <c r="D330" s="4795" t="s">
        <v>2324</v>
      </c>
      <c r="E330" s="4795" t="s">
        <v>2325</v>
      </c>
      <c r="F330" s="4795" t="s">
        <v>2612</v>
      </c>
      <c r="G330" s="4795" t="s">
        <v>18</v>
      </c>
      <c r="H330" s="4795" t="s">
        <v>18</v>
      </c>
      <c r="I330" s="4795" t="s">
        <v>599</v>
      </c>
    </row>
    <row customHeight="1" ht="11.25">
      <c r="A331" s="4795" t="s">
        <v>2178</v>
      </c>
      <c r="B331" s="4795" t="s">
        <v>14</v>
      </c>
      <c r="C331" s="4795" t="s">
        <v>2613</v>
      </c>
      <c r="D331" s="4795" t="s">
        <v>2324</v>
      </c>
      <c r="E331" s="4795" t="s">
        <v>2325</v>
      </c>
      <c r="F331" s="4795" t="s">
        <v>2614</v>
      </c>
      <c r="G331" s="4795" t="s">
        <v>18</v>
      </c>
      <c r="H331" s="4795" t="s">
        <v>18</v>
      </c>
      <c r="I331" s="4795" t="s">
        <v>599</v>
      </c>
    </row>
    <row customHeight="1" ht="11.25">
      <c r="A332" s="4795" t="s">
        <v>2178</v>
      </c>
      <c r="B332" s="4795" t="s">
        <v>14</v>
      </c>
      <c r="C332" s="4795" t="s">
        <v>2661</v>
      </c>
      <c r="D332" s="4795" t="s">
        <v>2324</v>
      </c>
      <c r="E332" s="4795" t="s">
        <v>2325</v>
      </c>
      <c r="F332" s="4795" t="s">
        <v>2662</v>
      </c>
      <c r="G332" s="4795" t="s">
        <v>18</v>
      </c>
      <c r="H332" s="4795" t="s">
        <v>18</v>
      </c>
      <c r="I332" s="4795" t="s">
        <v>599</v>
      </c>
    </row>
    <row customHeight="1" ht="11.25">
      <c r="A333" s="4795" t="s">
        <v>2178</v>
      </c>
      <c r="B333" s="4795" t="s">
        <v>14</v>
      </c>
      <c r="C333" s="4795" t="s">
        <v>2615</v>
      </c>
      <c r="D333" s="4795" t="s">
        <v>2324</v>
      </c>
      <c r="E333" s="4795" t="s">
        <v>2325</v>
      </c>
      <c r="F333" s="4795" t="s">
        <v>2616</v>
      </c>
      <c r="G333" s="4795" t="s">
        <v>18</v>
      </c>
      <c r="H333" s="4795" t="s">
        <v>18</v>
      </c>
      <c r="I333" s="4795" t="s">
        <v>599</v>
      </c>
    </row>
    <row customHeight="1" ht="11.25">
      <c r="A334" s="4795" t="s">
        <v>2178</v>
      </c>
      <c r="B334" s="4795" t="s">
        <v>14</v>
      </c>
      <c r="C334" s="4795" t="s">
        <v>2617</v>
      </c>
      <c r="D334" s="4795" t="s">
        <v>2324</v>
      </c>
      <c r="E334" s="4795" t="s">
        <v>2325</v>
      </c>
      <c r="F334" s="4795" t="s">
        <v>2618</v>
      </c>
      <c r="G334" s="4795" t="s">
        <v>18</v>
      </c>
      <c r="H334" s="4795" t="s">
        <v>18</v>
      </c>
      <c r="I334" s="4795" t="s">
        <v>599</v>
      </c>
    </row>
    <row customHeight="1" ht="11.25">
      <c r="A335" s="4795" t="s">
        <v>2178</v>
      </c>
      <c r="B335" s="4795" t="s">
        <v>14</v>
      </c>
      <c r="C335" s="4795" t="s">
        <v>2619</v>
      </c>
      <c r="D335" s="4795" t="s">
        <v>2324</v>
      </c>
      <c r="E335" s="4795" t="s">
        <v>2325</v>
      </c>
      <c r="F335" s="4795" t="s">
        <v>2620</v>
      </c>
      <c r="G335" s="4795" t="s">
        <v>18</v>
      </c>
      <c r="H335" s="4795" t="s">
        <v>18</v>
      </c>
      <c r="I335" s="4795" t="s">
        <v>599</v>
      </c>
    </row>
    <row customHeight="1" ht="11.25">
      <c r="A336" s="4795" t="s">
        <v>2178</v>
      </c>
      <c r="B336" s="4795" t="s">
        <v>14</v>
      </c>
      <c r="C336" s="4795" t="s">
        <v>2621</v>
      </c>
      <c r="D336" s="4795" t="s">
        <v>2324</v>
      </c>
      <c r="E336" s="4795" t="s">
        <v>2325</v>
      </c>
      <c r="F336" s="4795" t="s">
        <v>2622</v>
      </c>
      <c r="G336" s="4795" t="s">
        <v>18</v>
      </c>
      <c r="H336" s="4795" t="s">
        <v>18</v>
      </c>
      <c r="I336" s="4795" t="s">
        <v>599</v>
      </c>
    </row>
    <row customHeight="1" ht="11.25">
      <c r="A337" s="4795" t="s">
        <v>2178</v>
      </c>
      <c r="B337" s="4795" t="s">
        <v>14</v>
      </c>
      <c r="C337" s="4795" t="s">
        <v>2623</v>
      </c>
      <c r="D337" s="4795" t="s">
        <v>2324</v>
      </c>
      <c r="E337" s="4795" t="s">
        <v>2325</v>
      </c>
      <c r="F337" s="4795" t="s">
        <v>2624</v>
      </c>
      <c r="G337" s="4795" t="s">
        <v>18</v>
      </c>
      <c r="H337" s="4795" t="s">
        <v>18</v>
      </c>
      <c r="I337" s="4795" t="s">
        <v>599</v>
      </c>
    </row>
    <row customHeight="1" ht="11.25">
      <c r="A338" s="4795" t="s">
        <v>2178</v>
      </c>
      <c r="B338" s="4795" t="s">
        <v>14</v>
      </c>
      <c r="C338" s="4795" t="s">
        <v>2323</v>
      </c>
      <c r="D338" s="4795" t="s">
        <v>2324</v>
      </c>
      <c r="E338" s="4795" t="s">
        <v>2325</v>
      </c>
      <c r="F338" s="4795" t="s">
        <v>2322</v>
      </c>
      <c r="G338" s="4795" t="s">
        <v>18</v>
      </c>
      <c r="H338" s="4795" t="s">
        <v>18</v>
      </c>
      <c r="I338" s="4795" t="s">
        <v>599</v>
      </c>
    </row>
    <row customHeight="1" ht="11.25">
      <c r="A339" s="4795" t="s">
        <v>2178</v>
      </c>
      <c r="B339" s="4795" t="s">
        <v>14</v>
      </c>
      <c r="C339" s="4795" t="s">
        <v>2663</v>
      </c>
      <c r="D339" s="4795" t="s">
        <v>2664</v>
      </c>
      <c r="E339" s="4795" t="s">
        <v>2665</v>
      </c>
      <c r="F339" s="4795" t="s">
        <v>2210</v>
      </c>
      <c r="G339" s="4795" t="s">
        <v>18</v>
      </c>
      <c r="H339" s="4795" t="s">
        <v>18</v>
      </c>
      <c r="I339" s="4795" t="s">
        <v>599</v>
      </c>
    </row>
    <row customHeight="1" ht="11.25">
      <c r="A340" s="4795" t="s">
        <v>2178</v>
      </c>
      <c r="B340" s="4795" t="s">
        <v>14</v>
      </c>
      <c r="C340" s="4795" t="s">
        <v>2666</v>
      </c>
      <c r="D340" s="4795" t="s">
        <v>2664</v>
      </c>
      <c r="E340" s="4795" t="s">
        <v>2665</v>
      </c>
      <c r="F340" s="4795" t="s">
        <v>2667</v>
      </c>
      <c r="G340" s="4795" t="s">
        <v>18</v>
      </c>
      <c r="H340" s="4795" t="s">
        <v>18</v>
      </c>
      <c r="I340" s="4795" t="s">
        <v>599</v>
      </c>
    </row>
    <row customHeight="1" ht="11.25">
      <c r="A341" s="4795" t="s">
        <v>2178</v>
      </c>
      <c r="B341" s="4795" t="s">
        <v>14</v>
      </c>
      <c r="C341" s="4795" t="s">
        <v>2668</v>
      </c>
      <c r="D341" s="4795" t="s">
        <v>2626</v>
      </c>
      <c r="E341" s="4795" t="s">
        <v>2325</v>
      </c>
      <c r="F341" s="4795" t="s">
        <v>2669</v>
      </c>
      <c r="G341" s="4795" t="s">
        <v>18</v>
      </c>
      <c r="H341" s="4795" t="s">
        <v>18</v>
      </c>
      <c r="I341" s="4795" t="s">
        <v>599</v>
      </c>
    </row>
    <row customHeight="1" ht="11.25">
      <c r="A342" s="4795" t="s">
        <v>2178</v>
      </c>
      <c r="B342" s="4795" t="s">
        <v>14</v>
      </c>
      <c r="C342" s="4795" t="s">
        <v>2625</v>
      </c>
      <c r="D342" s="4795" t="s">
        <v>2626</v>
      </c>
      <c r="E342" s="4795" t="s">
        <v>2325</v>
      </c>
      <c r="F342" s="4795" t="s">
        <v>2627</v>
      </c>
      <c r="G342" s="4795" t="s">
        <v>18</v>
      </c>
      <c r="H342" s="4795" t="s">
        <v>18</v>
      </c>
      <c r="I342" s="4795" t="s">
        <v>599</v>
      </c>
    </row>
    <row customHeight="1" ht="11.25">
      <c r="A343" s="4795" t="s">
        <v>2178</v>
      </c>
      <c r="B343" s="4795" t="s">
        <v>14</v>
      </c>
      <c r="C343" s="4795" t="s">
        <v>2930</v>
      </c>
      <c r="D343" s="4795" t="s">
        <v>2931</v>
      </c>
      <c r="E343" s="4795" t="s">
        <v>2932</v>
      </c>
      <c r="F343" s="4795" t="s">
        <v>2441</v>
      </c>
      <c r="G343" s="4795" t="s">
        <v>2933</v>
      </c>
      <c r="H343" s="4795" t="s">
        <v>18</v>
      </c>
      <c r="I343" s="4795" t="s">
        <v>599</v>
      </c>
    </row>
    <row customHeight="1" ht="11.25">
      <c r="A344" s="4795" t="s">
        <v>2178</v>
      </c>
      <c r="B344" s="4795" t="s">
        <v>14</v>
      </c>
      <c r="C344" s="4795" t="s">
        <v>2673</v>
      </c>
      <c r="D344" s="4795" t="s">
        <v>2674</v>
      </c>
      <c r="E344" s="4795" t="s">
        <v>2675</v>
      </c>
      <c r="F344" s="4795" t="s">
        <v>2411</v>
      </c>
      <c r="G344" s="4795" t="s">
        <v>18</v>
      </c>
      <c r="H344" s="4795" t="s">
        <v>18</v>
      </c>
      <c r="I344" s="4795" t="s">
        <v>599</v>
      </c>
    </row>
    <row customHeight="1" ht="11.25">
      <c r="A345" s="4795" t="s">
        <v>2178</v>
      </c>
      <c r="B345" s="4795" t="s">
        <v>14</v>
      </c>
      <c r="C345" s="4795" t="s">
        <v>2676</v>
      </c>
      <c r="D345" s="4795" t="s">
        <v>2677</v>
      </c>
      <c r="E345" s="4795" t="s">
        <v>2678</v>
      </c>
      <c r="F345" s="4795" t="s">
        <v>2520</v>
      </c>
      <c r="G345" s="4795" t="s">
        <v>18</v>
      </c>
      <c r="H345" s="4795" t="s">
        <v>18</v>
      </c>
      <c r="I345" s="4795" t="s">
        <v>599</v>
      </c>
    </row>
    <row customHeight="1" ht="11.25">
      <c r="A346" s="4795" t="s">
        <v>2178</v>
      </c>
      <c r="B346" s="4795" t="s">
        <v>14</v>
      </c>
      <c r="C346" s="4795" t="s">
        <v>2679</v>
      </c>
      <c r="D346" s="4795" t="s">
        <v>2680</v>
      </c>
      <c r="E346" s="4795" t="s">
        <v>2681</v>
      </c>
      <c r="F346" s="4795" t="s">
        <v>2238</v>
      </c>
      <c r="G346" s="4795" t="s">
        <v>18</v>
      </c>
      <c r="H346" s="4795" t="s">
        <v>18</v>
      </c>
      <c r="I346" s="4795" t="s">
        <v>599</v>
      </c>
    </row>
    <row customHeight="1" ht="11.25">
      <c r="A347" s="4795" t="s">
        <v>2178</v>
      </c>
      <c r="B347" s="4795" t="s">
        <v>14</v>
      </c>
      <c r="C347" s="4795" t="s">
        <v>2682</v>
      </c>
      <c r="D347" s="4795" t="s">
        <v>2683</v>
      </c>
      <c r="E347" s="4795" t="s">
        <v>2684</v>
      </c>
      <c r="F347" s="4795" t="s">
        <v>2333</v>
      </c>
      <c r="G347" s="4795" t="s">
        <v>18</v>
      </c>
      <c r="H347" s="4795" t="s">
        <v>18</v>
      </c>
      <c r="I347" s="4795" t="s">
        <v>599</v>
      </c>
    </row>
    <row customHeight="1" ht="11.25">
      <c r="A348" s="4795" t="s">
        <v>2178</v>
      </c>
      <c r="B348" s="4795" t="s">
        <v>14</v>
      </c>
      <c r="C348" s="4795" t="s">
        <v>2689</v>
      </c>
      <c r="D348" s="4795" t="s">
        <v>2690</v>
      </c>
      <c r="E348" s="4795" t="s">
        <v>2691</v>
      </c>
      <c r="F348" s="4795" t="s">
        <v>2238</v>
      </c>
      <c r="G348" s="4795" t="s">
        <v>18</v>
      </c>
      <c r="H348" s="4795" t="s">
        <v>18</v>
      </c>
      <c r="I348" s="4795" t="s">
        <v>599</v>
      </c>
    </row>
    <row customHeight="1" ht="11.25">
      <c r="A349" s="4795" t="s">
        <v>2178</v>
      </c>
      <c r="B349" s="4795" t="s">
        <v>14</v>
      </c>
      <c r="C349" s="4795" t="s">
        <v>2330</v>
      </c>
      <c r="D349" s="4795" t="s">
        <v>2331</v>
      </c>
      <c r="E349" s="4795" t="s">
        <v>2332</v>
      </c>
      <c r="F349" s="4795" t="s">
        <v>2333</v>
      </c>
      <c r="G349" s="4795" t="s">
        <v>18</v>
      </c>
      <c r="H349" s="4795" t="s">
        <v>18</v>
      </c>
      <c r="I349" s="4795" t="s">
        <v>599</v>
      </c>
    </row>
    <row customHeight="1" ht="11.25">
      <c r="A350" s="4795" t="s">
        <v>2178</v>
      </c>
      <c r="B350" s="4795" t="s">
        <v>14</v>
      </c>
      <c r="C350" s="4795" t="s">
        <v>2692</v>
      </c>
      <c r="D350" s="4795" t="s">
        <v>2693</v>
      </c>
      <c r="E350" s="4795" t="s">
        <v>2694</v>
      </c>
      <c r="F350" s="4795" t="s">
        <v>2351</v>
      </c>
      <c r="G350" s="4795" t="s">
        <v>2695</v>
      </c>
      <c r="H350" s="4795" t="s">
        <v>18</v>
      </c>
      <c r="I350" s="4795" t="s">
        <v>599</v>
      </c>
    </row>
    <row customHeight="1" ht="11.25">
      <c r="A351" s="4795" t="s">
        <v>2178</v>
      </c>
      <c r="B351" s="4795" t="s">
        <v>14</v>
      </c>
      <c r="C351" s="4795" t="s">
        <v>2696</v>
      </c>
      <c r="D351" s="4795" t="s">
        <v>2697</v>
      </c>
      <c r="E351" s="4795" t="s">
        <v>2698</v>
      </c>
      <c r="F351" s="4795" t="s">
        <v>2699</v>
      </c>
      <c r="G351" s="4795" t="s">
        <v>18</v>
      </c>
      <c r="H351" s="4795" t="s">
        <v>18</v>
      </c>
      <c r="I351" s="4795" t="s">
        <v>599</v>
      </c>
    </row>
    <row customHeight="1" ht="11.25">
      <c r="A352" s="4795" t="s">
        <v>2178</v>
      </c>
      <c r="B352" s="4795" t="s">
        <v>14</v>
      </c>
      <c r="C352" s="4795" t="s">
        <v>2700</v>
      </c>
      <c r="D352" s="4795" t="s">
        <v>2701</v>
      </c>
      <c r="E352" s="4795" t="s">
        <v>2702</v>
      </c>
      <c r="F352" s="4795" t="s">
        <v>2351</v>
      </c>
      <c r="G352" s="4795" t="s">
        <v>18</v>
      </c>
      <c r="H352" s="4795" t="s">
        <v>18</v>
      </c>
      <c r="I352" s="4795" t="s">
        <v>599</v>
      </c>
    </row>
    <row customHeight="1" ht="11.25">
      <c r="A353" s="4795" t="s">
        <v>2178</v>
      </c>
      <c r="B353" s="4795" t="s">
        <v>14</v>
      </c>
      <c r="C353" s="4795" t="s">
        <v>2703</v>
      </c>
      <c r="D353" s="4795" t="s">
        <v>2704</v>
      </c>
      <c r="E353" s="4795" t="s">
        <v>2705</v>
      </c>
      <c r="F353" s="4795" t="s">
        <v>51</v>
      </c>
      <c r="G353" s="4795" t="s">
        <v>2706</v>
      </c>
      <c r="H353" s="4795" t="s">
        <v>18</v>
      </c>
      <c r="I353" s="4795" t="s">
        <v>599</v>
      </c>
    </row>
    <row customHeight="1" ht="11.25">
      <c r="A354" s="4795" t="s">
        <v>2178</v>
      </c>
      <c r="B354" s="4795" t="s">
        <v>14</v>
      </c>
      <c r="C354" s="4795" t="s">
        <v>2707</v>
      </c>
      <c r="D354" s="4795" t="s">
        <v>2708</v>
      </c>
      <c r="E354" s="4795" t="s">
        <v>2709</v>
      </c>
      <c r="F354" s="4795" t="s">
        <v>51</v>
      </c>
      <c r="G354" s="4795" t="s">
        <v>2710</v>
      </c>
      <c r="H354" s="4795" t="s">
        <v>18</v>
      </c>
      <c r="I354" s="4795" t="s">
        <v>599</v>
      </c>
    </row>
    <row customHeight="1" ht="11.25">
      <c r="A355" s="4795" t="s">
        <v>2178</v>
      </c>
      <c r="B355" s="4795" t="s">
        <v>14</v>
      </c>
      <c r="C355" s="4795" t="s">
        <v>2337</v>
      </c>
      <c r="D355" s="4795" t="s">
        <v>2338</v>
      </c>
      <c r="E355" s="4795" t="s">
        <v>2339</v>
      </c>
      <c r="F355" s="4795" t="s">
        <v>2340</v>
      </c>
      <c r="G355" s="4795" t="s">
        <v>18</v>
      </c>
      <c r="H355" s="4795" t="s">
        <v>18</v>
      </c>
      <c r="I355" s="4795" t="s">
        <v>599</v>
      </c>
    </row>
    <row customHeight="1" ht="11.25">
      <c r="A356" s="4795" t="s">
        <v>2178</v>
      </c>
      <c r="B356" s="4795" t="s">
        <v>14</v>
      </c>
      <c r="C356" s="4795" t="s">
        <v>2934</v>
      </c>
      <c r="D356" s="4795" t="s">
        <v>2935</v>
      </c>
      <c r="E356" s="4795" t="s">
        <v>2936</v>
      </c>
      <c r="F356" s="4795" t="s">
        <v>2351</v>
      </c>
      <c r="G356" s="4795" t="s">
        <v>18</v>
      </c>
      <c r="H356" s="4795" t="s">
        <v>18</v>
      </c>
      <c r="I356" s="4795" t="s">
        <v>599</v>
      </c>
    </row>
    <row customHeight="1" ht="11.25">
      <c r="A357" s="4795" t="s">
        <v>2178</v>
      </c>
      <c r="B357" s="4795" t="s">
        <v>14</v>
      </c>
      <c r="C357" s="4795" t="s">
        <v>2341</v>
      </c>
      <c r="D357" s="4795" t="s">
        <v>2342</v>
      </c>
      <c r="E357" s="4795" t="s">
        <v>2343</v>
      </c>
      <c r="F357" s="4795" t="s">
        <v>2344</v>
      </c>
      <c r="G357" s="4795" t="s">
        <v>18</v>
      </c>
      <c r="H357" s="4795" t="s">
        <v>18</v>
      </c>
      <c r="I357" s="4795" t="s">
        <v>599</v>
      </c>
    </row>
    <row customHeight="1" ht="11.25">
      <c r="A358" s="4795" t="s">
        <v>2178</v>
      </c>
      <c r="B358" s="4795" t="s">
        <v>14</v>
      </c>
      <c r="C358" s="4795" t="s">
        <v>2345</v>
      </c>
      <c r="D358" s="4795" t="s">
        <v>2346</v>
      </c>
      <c r="E358" s="4795" t="s">
        <v>2347</v>
      </c>
      <c r="F358" s="4795" t="s">
        <v>2344</v>
      </c>
      <c r="G358" s="4795" t="s">
        <v>18</v>
      </c>
      <c r="H358" s="4795" t="s">
        <v>18</v>
      </c>
      <c r="I358" s="4795" t="s">
        <v>599</v>
      </c>
    </row>
    <row customHeight="1" ht="11.25">
      <c r="A359" s="4795" t="s">
        <v>2178</v>
      </c>
      <c r="B359" s="4795" t="s">
        <v>14</v>
      </c>
      <c r="C359" s="4795" t="s">
        <v>2348</v>
      </c>
      <c r="D359" s="4795" t="s">
        <v>2349</v>
      </c>
      <c r="E359" s="4795" t="s">
        <v>2350</v>
      </c>
      <c r="F359" s="4795" t="s">
        <v>2351</v>
      </c>
      <c r="G359" s="4795" t="s">
        <v>18</v>
      </c>
      <c r="H359" s="4795" t="s">
        <v>18</v>
      </c>
      <c r="I359" s="4795" t="s">
        <v>599</v>
      </c>
    </row>
    <row customHeight="1" ht="11.25">
      <c r="A360" s="4795" t="s">
        <v>2178</v>
      </c>
      <c r="B360" s="4795" t="s">
        <v>14</v>
      </c>
      <c r="C360" s="4795" t="s">
        <v>2711</v>
      </c>
      <c r="D360" s="4795" t="s">
        <v>2712</v>
      </c>
      <c r="E360" s="4795" t="s">
        <v>2713</v>
      </c>
      <c r="F360" s="4795" t="s">
        <v>2283</v>
      </c>
      <c r="G360" s="4795" t="s">
        <v>18</v>
      </c>
      <c r="H360" s="4795" t="s">
        <v>18</v>
      </c>
      <c r="I360" s="4795" t="s">
        <v>599</v>
      </c>
    </row>
    <row customHeight="1" ht="11.25">
      <c r="A361" s="4795" t="s">
        <v>2178</v>
      </c>
      <c r="B361" s="4795" t="s">
        <v>14</v>
      </c>
      <c r="C361" s="4795" t="s">
        <v>2714</v>
      </c>
      <c r="D361" s="4795" t="s">
        <v>2715</v>
      </c>
      <c r="E361" s="4795" t="s">
        <v>2716</v>
      </c>
      <c r="F361" s="4795" t="s">
        <v>2246</v>
      </c>
      <c r="G361" s="4795" t="s">
        <v>2717</v>
      </c>
      <c r="H361" s="4795" t="s">
        <v>18</v>
      </c>
      <c r="I361" s="4795" t="s">
        <v>599</v>
      </c>
    </row>
    <row customHeight="1" ht="11.25">
      <c r="A362" s="4795" t="s">
        <v>2178</v>
      </c>
      <c r="B362" s="4795" t="s">
        <v>14</v>
      </c>
      <c r="C362" s="4795" t="s">
        <v>2718</v>
      </c>
      <c r="D362" s="4795" t="s">
        <v>2719</v>
      </c>
      <c r="E362" s="4795" t="s">
        <v>2720</v>
      </c>
      <c r="F362" s="4795" t="s">
        <v>2304</v>
      </c>
      <c r="G362" s="4795" t="s">
        <v>2721</v>
      </c>
      <c r="H362" s="4795" t="s">
        <v>18</v>
      </c>
      <c r="I362" s="4795" t="s">
        <v>599</v>
      </c>
    </row>
    <row customHeight="1" ht="11.25">
      <c r="A363" s="4795" t="s">
        <v>2178</v>
      </c>
      <c r="B363" s="4795" t="s">
        <v>14</v>
      </c>
      <c r="C363" s="4795" t="s">
        <v>2352</v>
      </c>
      <c r="D363" s="4795" t="s">
        <v>46</v>
      </c>
      <c r="E363" s="4795" t="s">
        <v>49</v>
      </c>
      <c r="F363" s="4795" t="s">
        <v>51</v>
      </c>
      <c r="G363" s="4795" t="s">
        <v>18</v>
      </c>
      <c r="H363" s="4795" t="s">
        <v>18</v>
      </c>
      <c r="I363" s="4795" t="s">
        <v>599</v>
      </c>
    </row>
    <row customHeight="1" ht="11.25">
      <c r="A364" s="4795" t="s">
        <v>2178</v>
      </c>
      <c r="B364" s="4795" t="s">
        <v>14</v>
      </c>
      <c r="C364" s="4795" t="s">
        <v>2722</v>
      </c>
      <c r="D364" s="4795" t="s">
        <v>2723</v>
      </c>
      <c r="E364" s="4795" t="s">
        <v>2724</v>
      </c>
      <c r="F364" s="4795" t="s">
        <v>2688</v>
      </c>
      <c r="G364" s="4795" t="s">
        <v>18</v>
      </c>
      <c r="H364" s="4795" t="s">
        <v>18</v>
      </c>
      <c r="I364" s="4795" t="s">
        <v>599</v>
      </c>
    </row>
    <row customHeight="1" ht="11.25">
      <c r="A365" s="4795" t="s">
        <v>2178</v>
      </c>
      <c r="B365" s="4795" t="s">
        <v>14</v>
      </c>
      <c r="C365" s="4795" t="s">
        <v>2353</v>
      </c>
      <c r="D365" s="4795" t="s">
        <v>2354</v>
      </c>
      <c r="E365" s="4795" t="s">
        <v>2355</v>
      </c>
      <c r="F365" s="4795" t="s">
        <v>2340</v>
      </c>
      <c r="G365" s="4795" t="s">
        <v>18</v>
      </c>
      <c r="H365" s="4795" t="s">
        <v>18</v>
      </c>
      <c r="I365" s="4795" t="s">
        <v>599</v>
      </c>
    </row>
    <row customHeight="1" ht="11.25">
      <c r="A366" s="4795" t="s">
        <v>2178</v>
      </c>
      <c r="B366" s="4795" t="s">
        <v>14</v>
      </c>
      <c r="C366" s="4795" t="s">
        <v>2725</v>
      </c>
      <c r="D366" s="4795" t="s">
        <v>2726</v>
      </c>
      <c r="E366" s="4795" t="s">
        <v>2727</v>
      </c>
      <c r="F366" s="4795" t="s">
        <v>2246</v>
      </c>
      <c r="G366" s="4795" t="s">
        <v>18</v>
      </c>
      <c r="H366" s="4795" t="s">
        <v>18</v>
      </c>
      <c r="I366" s="4795" t="s">
        <v>599</v>
      </c>
    </row>
    <row customHeight="1" ht="11.25">
      <c r="A367" s="4795" t="s">
        <v>2178</v>
      </c>
      <c r="B367" s="4795" t="s">
        <v>14</v>
      </c>
      <c r="C367" s="4795" t="s">
        <v>2728</v>
      </c>
      <c r="D367" s="4795" t="s">
        <v>2729</v>
      </c>
      <c r="E367" s="4795" t="s">
        <v>2730</v>
      </c>
      <c r="F367" s="4795" t="s">
        <v>2602</v>
      </c>
      <c r="G367" s="4795" t="s">
        <v>18</v>
      </c>
      <c r="H367" s="4795" t="s">
        <v>18</v>
      </c>
      <c r="I367" s="4795" t="s">
        <v>599</v>
      </c>
    </row>
    <row customHeight="1" ht="11.25">
      <c r="A368" s="4795" t="s">
        <v>2178</v>
      </c>
      <c r="B368" s="4795" t="s">
        <v>14</v>
      </c>
      <c r="C368" s="4795" t="s">
        <v>2731</v>
      </c>
      <c r="D368" s="4795" t="s">
        <v>2732</v>
      </c>
      <c r="E368" s="4795" t="s">
        <v>2733</v>
      </c>
      <c r="F368" s="4795" t="s">
        <v>2185</v>
      </c>
      <c r="G368" s="4795" t="s">
        <v>18</v>
      </c>
      <c r="H368" s="4795" t="s">
        <v>18</v>
      </c>
      <c r="I368" s="4795" t="s">
        <v>599</v>
      </c>
    </row>
    <row customHeight="1" ht="11.25">
      <c r="A369" s="4795" t="s">
        <v>2178</v>
      </c>
      <c r="B369" s="4795" t="s">
        <v>14</v>
      </c>
      <c r="C369" s="4795" t="s">
        <v>2356</v>
      </c>
      <c r="D369" s="4795" t="s">
        <v>2357</v>
      </c>
      <c r="E369" s="4795" t="s">
        <v>2358</v>
      </c>
      <c r="F369" s="4795" t="s">
        <v>2359</v>
      </c>
      <c r="G369" s="4795" t="s">
        <v>18</v>
      </c>
      <c r="H369" s="4795" t="s">
        <v>18</v>
      </c>
      <c r="I369" s="4795" t="s">
        <v>599</v>
      </c>
    </row>
    <row customHeight="1" ht="11.25">
      <c r="A370" s="4795" t="s">
        <v>2178</v>
      </c>
      <c r="B370" s="4795" t="s">
        <v>14</v>
      </c>
      <c r="C370" s="4795" t="s">
        <v>2734</v>
      </c>
      <c r="D370" s="4795" t="s">
        <v>2735</v>
      </c>
      <c r="E370" s="4795" t="s">
        <v>2736</v>
      </c>
      <c r="F370" s="4795" t="s">
        <v>2602</v>
      </c>
      <c r="G370" s="4795" t="s">
        <v>18</v>
      </c>
      <c r="H370" s="4795" t="s">
        <v>18</v>
      </c>
      <c r="I370" s="4795" t="s">
        <v>599</v>
      </c>
    </row>
    <row customHeight="1" ht="11.25">
      <c r="A371" s="4795" t="s">
        <v>2178</v>
      </c>
      <c r="B371" s="4795" t="s">
        <v>14</v>
      </c>
      <c r="C371" s="4795" t="s">
        <v>2360</v>
      </c>
      <c r="D371" s="4795" t="s">
        <v>2361</v>
      </c>
      <c r="E371" s="4795" t="s">
        <v>2362</v>
      </c>
      <c r="F371" s="4795" t="s">
        <v>2322</v>
      </c>
      <c r="G371" s="4795" t="s">
        <v>18</v>
      </c>
      <c r="H371" s="4795" t="s">
        <v>18</v>
      </c>
      <c r="I371" s="4795" t="s">
        <v>599</v>
      </c>
    </row>
    <row customHeight="1" ht="11.25">
      <c r="A372" s="4795" t="s">
        <v>2178</v>
      </c>
      <c r="B372" s="4795" t="s">
        <v>14</v>
      </c>
      <c r="C372" s="4795" t="s">
        <v>2370</v>
      </c>
      <c r="D372" s="4795" t="s">
        <v>2371</v>
      </c>
      <c r="E372" s="4795" t="s">
        <v>2372</v>
      </c>
      <c r="F372" s="4795" t="s">
        <v>2373</v>
      </c>
      <c r="G372" s="4795" t="s">
        <v>18</v>
      </c>
      <c r="H372" s="4795" t="s">
        <v>18</v>
      </c>
      <c r="I372" s="4795" t="s">
        <v>599</v>
      </c>
    </row>
    <row customHeight="1" ht="11.25">
      <c r="A373" s="4795" t="s">
        <v>2178</v>
      </c>
      <c r="B373" s="4795" t="s">
        <v>14</v>
      </c>
      <c r="C373" s="4795" t="s">
        <v>2937</v>
      </c>
      <c r="D373" s="4795" t="s">
        <v>2938</v>
      </c>
      <c r="E373" s="4795" t="s">
        <v>2939</v>
      </c>
      <c r="F373" s="4795" t="s">
        <v>2238</v>
      </c>
      <c r="G373" s="4795" t="s">
        <v>18</v>
      </c>
      <c r="H373" s="4795" t="s">
        <v>18</v>
      </c>
      <c r="I373" s="4795" t="s">
        <v>599</v>
      </c>
    </row>
    <row customHeight="1" ht="11.25">
      <c r="A374" s="4795" t="s">
        <v>2178</v>
      </c>
      <c r="B374" s="4795" t="s">
        <v>14</v>
      </c>
      <c r="C374" s="4795" t="s">
        <v>2393</v>
      </c>
      <c r="D374" s="4795" t="s">
        <v>2394</v>
      </c>
      <c r="E374" s="4795" t="s">
        <v>2395</v>
      </c>
      <c r="F374" s="4795" t="s">
        <v>2344</v>
      </c>
      <c r="G374" s="4795" t="s">
        <v>18</v>
      </c>
      <c r="H374" s="4795" t="s">
        <v>18</v>
      </c>
      <c r="I374" s="4795" t="s">
        <v>599</v>
      </c>
    </row>
    <row customHeight="1" ht="11.25">
      <c r="A375" s="4795" t="s">
        <v>2178</v>
      </c>
      <c r="B375" s="4795" t="s">
        <v>14</v>
      </c>
      <c r="C375" s="4795" t="s">
        <v>2743</v>
      </c>
      <c r="D375" s="4795" t="s">
        <v>2744</v>
      </c>
      <c r="E375" s="4795" t="s">
        <v>2745</v>
      </c>
      <c r="F375" s="4795" t="s">
        <v>51</v>
      </c>
      <c r="G375" s="4795" t="s">
        <v>2746</v>
      </c>
      <c r="H375" s="4795" t="s">
        <v>18</v>
      </c>
      <c r="I375" s="4795" t="s">
        <v>599</v>
      </c>
    </row>
    <row customHeight="1" ht="11.25">
      <c r="A376" s="4795" t="s">
        <v>2178</v>
      </c>
      <c r="B376" s="4795" t="s">
        <v>14</v>
      </c>
      <c r="C376" s="4795" t="s">
        <v>2747</v>
      </c>
      <c r="D376" s="4795" t="s">
        <v>2748</v>
      </c>
      <c r="E376" s="4795" t="s">
        <v>2749</v>
      </c>
      <c r="F376" s="4795" t="s">
        <v>2229</v>
      </c>
      <c r="G376" s="4795" t="s">
        <v>2750</v>
      </c>
      <c r="H376" s="4795" t="s">
        <v>18</v>
      </c>
      <c r="I376" s="4795" t="s">
        <v>599</v>
      </c>
    </row>
    <row customHeight="1" ht="11.25">
      <c r="A377" s="4795" t="s">
        <v>2178</v>
      </c>
      <c r="B377" s="4795" t="s">
        <v>14</v>
      </c>
      <c r="C377" s="4795" t="s">
        <v>2751</v>
      </c>
      <c r="D377" s="4795" t="s">
        <v>2752</v>
      </c>
      <c r="E377" s="4795" t="s">
        <v>2753</v>
      </c>
      <c r="F377" s="4795" t="s">
        <v>2499</v>
      </c>
      <c r="G377" s="4795" t="s">
        <v>2754</v>
      </c>
      <c r="H377" s="4795" t="s">
        <v>18</v>
      </c>
      <c r="I377" s="4795" t="s">
        <v>599</v>
      </c>
    </row>
    <row customHeight="1" ht="11.25">
      <c r="A378" s="4795" t="s">
        <v>2178</v>
      </c>
      <c r="B378" s="4795" t="s">
        <v>14</v>
      </c>
      <c r="C378" s="4795" t="s">
        <v>2755</v>
      </c>
      <c r="D378" s="4795" t="s">
        <v>2756</v>
      </c>
      <c r="E378" s="4795" t="s">
        <v>2757</v>
      </c>
      <c r="F378" s="4795" t="s">
        <v>2758</v>
      </c>
      <c r="G378" s="4795" t="s">
        <v>18</v>
      </c>
      <c r="H378" s="4795" t="s">
        <v>18</v>
      </c>
      <c r="I378" s="4795" t="s">
        <v>599</v>
      </c>
    </row>
    <row customHeight="1" ht="11.25">
      <c r="A379" s="4795" t="s">
        <v>2178</v>
      </c>
      <c r="B379" s="4795" t="s">
        <v>14</v>
      </c>
      <c r="C379" s="4795" t="s">
        <v>2763</v>
      </c>
      <c r="D379" s="4795" t="s">
        <v>2764</v>
      </c>
      <c r="E379" s="4795" t="s">
        <v>2765</v>
      </c>
      <c r="F379" s="4795" t="s">
        <v>2210</v>
      </c>
      <c r="G379" s="4795" t="s">
        <v>18</v>
      </c>
      <c r="H379" s="4795" t="s">
        <v>18</v>
      </c>
      <c r="I379" s="4795" t="s">
        <v>599</v>
      </c>
    </row>
    <row customHeight="1" ht="11.25">
      <c r="A380" s="4795" t="s">
        <v>2178</v>
      </c>
      <c r="B380" s="4795" t="s">
        <v>14</v>
      </c>
      <c r="C380" s="4795" t="s">
        <v>2766</v>
      </c>
      <c r="D380" s="4795" t="s">
        <v>2767</v>
      </c>
      <c r="E380" s="4795" t="s">
        <v>2768</v>
      </c>
      <c r="F380" s="4795" t="s">
        <v>2769</v>
      </c>
      <c r="G380" s="4795" t="s">
        <v>18</v>
      </c>
      <c r="H380" s="4795" t="s">
        <v>18</v>
      </c>
      <c r="I380" s="4795" t="s">
        <v>599</v>
      </c>
    </row>
    <row customHeight="1" ht="11.25">
      <c r="A381" s="4795" t="s">
        <v>2178</v>
      </c>
      <c r="B381" s="4795" t="s">
        <v>14</v>
      </c>
      <c r="C381" s="4795" t="s">
        <v>2770</v>
      </c>
      <c r="D381" s="4795" t="s">
        <v>2771</v>
      </c>
      <c r="E381" s="4795" t="s">
        <v>2772</v>
      </c>
      <c r="F381" s="4795" t="s">
        <v>2576</v>
      </c>
      <c r="G381" s="4795" t="s">
        <v>18</v>
      </c>
      <c r="H381" s="4795" t="s">
        <v>18</v>
      </c>
      <c r="I381" s="4795" t="s">
        <v>599</v>
      </c>
    </row>
    <row customHeight="1" ht="11.25">
      <c r="A382" s="4795" t="s">
        <v>2178</v>
      </c>
      <c r="B382" s="4795" t="s">
        <v>14</v>
      </c>
      <c r="C382" s="4795" t="s">
        <v>2940</v>
      </c>
      <c r="D382" s="4795" t="s">
        <v>2941</v>
      </c>
      <c r="E382" s="4795" t="s">
        <v>2942</v>
      </c>
      <c r="F382" s="4795" t="s">
        <v>2189</v>
      </c>
      <c r="G382" s="4795" t="s">
        <v>2762</v>
      </c>
      <c r="H382" s="4795" t="s">
        <v>18</v>
      </c>
      <c r="I382" s="4795" t="s">
        <v>599</v>
      </c>
    </row>
    <row customHeight="1" ht="11.25">
      <c r="A383" s="4795" t="s">
        <v>2178</v>
      </c>
      <c r="B383" s="4795" t="s">
        <v>14</v>
      </c>
      <c r="C383" s="4795" t="s">
        <v>2943</v>
      </c>
      <c r="D383" s="4795" t="s">
        <v>2941</v>
      </c>
      <c r="E383" s="4795" t="s">
        <v>2944</v>
      </c>
      <c r="F383" s="4795" t="s">
        <v>2602</v>
      </c>
      <c r="G383" s="4795" t="s">
        <v>2776</v>
      </c>
      <c r="H383" s="4795" t="s">
        <v>18</v>
      </c>
      <c r="I383" s="4795" t="s">
        <v>599</v>
      </c>
    </row>
    <row customHeight="1" ht="11.25">
      <c r="A384" s="4795" t="s">
        <v>2178</v>
      </c>
      <c r="B384" s="4795" t="s">
        <v>14</v>
      </c>
      <c r="C384" s="4795" t="s">
        <v>2408</v>
      </c>
      <c r="D384" s="4795" t="s">
        <v>2409</v>
      </c>
      <c r="E384" s="4795" t="s">
        <v>2410</v>
      </c>
      <c r="F384" s="4795" t="s">
        <v>2411</v>
      </c>
      <c r="G384" s="4795" t="s">
        <v>2412</v>
      </c>
      <c r="H384" s="4795" t="s">
        <v>18</v>
      </c>
      <c r="I384" s="4795" t="s">
        <v>599</v>
      </c>
    </row>
    <row customHeight="1" ht="11.25">
      <c r="A385" s="4795" t="s">
        <v>2178</v>
      </c>
      <c r="B385" s="4795" t="s">
        <v>14</v>
      </c>
      <c r="C385" s="4795" t="s">
        <v>2777</v>
      </c>
      <c r="D385" s="4795" t="s">
        <v>2778</v>
      </c>
      <c r="E385" s="4795" t="s">
        <v>2779</v>
      </c>
      <c r="F385" s="4795" t="s">
        <v>51</v>
      </c>
      <c r="G385" s="4795" t="s">
        <v>18</v>
      </c>
      <c r="H385" s="4795" t="s">
        <v>18</v>
      </c>
      <c r="I385" s="4795" t="s">
        <v>599</v>
      </c>
    </row>
    <row customHeight="1" ht="11.25">
      <c r="A386" s="4795" t="s">
        <v>2178</v>
      </c>
      <c r="B386" s="4795" t="s">
        <v>14</v>
      </c>
      <c r="C386" s="4795" t="s">
        <v>2945</v>
      </c>
      <c r="D386" s="4795" t="s">
        <v>2946</v>
      </c>
      <c r="E386" s="4795" t="s">
        <v>2947</v>
      </c>
      <c r="F386" s="4795" t="s">
        <v>2185</v>
      </c>
      <c r="G386" s="4795" t="s">
        <v>18</v>
      </c>
      <c r="H386" s="4795" t="s">
        <v>18</v>
      </c>
      <c r="I386" s="4795" t="s">
        <v>599</v>
      </c>
    </row>
    <row customHeight="1" ht="11.25">
      <c r="A387" s="4795" t="s">
        <v>2178</v>
      </c>
      <c r="B387" s="4795" t="s">
        <v>14</v>
      </c>
      <c r="C387" s="4795" t="s">
        <v>2783</v>
      </c>
      <c r="D387" s="4795" t="s">
        <v>2784</v>
      </c>
      <c r="E387" s="4795" t="s">
        <v>2785</v>
      </c>
      <c r="F387" s="4795" t="s">
        <v>2181</v>
      </c>
      <c r="G387" s="4795" t="s">
        <v>18</v>
      </c>
      <c r="H387" s="4795" t="s">
        <v>18</v>
      </c>
      <c r="I387" s="4795" t="s">
        <v>599</v>
      </c>
    </row>
    <row customHeight="1" ht="11.25">
      <c r="A388" s="4795" t="s">
        <v>2178</v>
      </c>
      <c r="B388" s="4795" t="s">
        <v>14</v>
      </c>
      <c r="C388" s="4795" t="s">
        <v>2786</v>
      </c>
      <c r="D388" s="4795" t="s">
        <v>2787</v>
      </c>
      <c r="E388" s="4795" t="s">
        <v>2788</v>
      </c>
      <c r="F388" s="4795" t="s">
        <v>2185</v>
      </c>
      <c r="G388" s="4795" t="s">
        <v>18</v>
      </c>
      <c r="H388" s="4795" t="s">
        <v>18</v>
      </c>
      <c r="I388" s="4795" t="s">
        <v>599</v>
      </c>
    </row>
    <row customHeight="1" ht="11.25">
      <c r="A389" s="4795" t="s">
        <v>2178</v>
      </c>
      <c r="B389" s="4795" t="s">
        <v>14</v>
      </c>
      <c r="C389" s="4795" t="s">
        <v>2425</v>
      </c>
      <c r="D389" s="4795" t="s">
        <v>2426</v>
      </c>
      <c r="E389" s="4795" t="s">
        <v>2427</v>
      </c>
      <c r="F389" s="4795" t="s">
        <v>2411</v>
      </c>
      <c r="G389" s="4795" t="s">
        <v>18</v>
      </c>
      <c r="H389" s="4795" t="s">
        <v>18</v>
      </c>
      <c r="I389" s="4795" t="s">
        <v>599</v>
      </c>
    </row>
    <row customHeight="1" ht="11.25">
      <c r="A390" s="4795" t="s">
        <v>2178</v>
      </c>
      <c r="B390" s="4795" t="s">
        <v>14</v>
      </c>
      <c r="C390" s="4795" t="s">
        <v>2431</v>
      </c>
      <c r="D390" s="4795" t="s">
        <v>2432</v>
      </c>
      <c r="E390" s="4795" t="s">
        <v>2433</v>
      </c>
      <c r="F390" s="4795" t="s">
        <v>2411</v>
      </c>
      <c r="G390" s="4795" t="s">
        <v>18</v>
      </c>
      <c r="H390" s="4795" t="s">
        <v>18</v>
      </c>
      <c r="I390" s="4795" t="s">
        <v>599</v>
      </c>
    </row>
    <row customHeight="1" ht="11.25">
      <c r="A391" s="4795" t="s">
        <v>2178</v>
      </c>
      <c r="B391" s="4795" t="s">
        <v>14</v>
      </c>
      <c r="C391" s="4795" t="s">
        <v>2789</v>
      </c>
      <c r="D391" s="4795" t="s">
        <v>2790</v>
      </c>
      <c r="E391" s="4795" t="s">
        <v>2791</v>
      </c>
      <c r="F391" s="4795" t="s">
        <v>2411</v>
      </c>
      <c r="G391" s="4795" t="s">
        <v>18</v>
      </c>
      <c r="H391" s="4795" t="s">
        <v>18</v>
      </c>
      <c r="I391" s="4795" t="s">
        <v>599</v>
      </c>
    </row>
    <row customHeight="1" ht="11.25">
      <c r="A392" s="4795" t="s">
        <v>2178</v>
      </c>
      <c r="B392" s="4795" t="s">
        <v>14</v>
      </c>
      <c r="C392" s="4795" t="s">
        <v>2792</v>
      </c>
      <c r="D392" s="4795" t="s">
        <v>2793</v>
      </c>
      <c r="E392" s="4795" t="s">
        <v>2794</v>
      </c>
      <c r="F392" s="4795" t="s">
        <v>2359</v>
      </c>
      <c r="G392" s="4795" t="s">
        <v>2795</v>
      </c>
      <c r="H392" s="4795" t="s">
        <v>18</v>
      </c>
      <c r="I392" s="4795" t="s">
        <v>599</v>
      </c>
    </row>
    <row customHeight="1" ht="11.25">
      <c r="A393" s="4795" t="s">
        <v>2178</v>
      </c>
      <c r="B393" s="4795" t="s">
        <v>14</v>
      </c>
      <c r="C393" s="4795" t="s">
        <v>2796</v>
      </c>
      <c r="D393" s="4795" t="s">
        <v>2797</v>
      </c>
      <c r="E393" s="4795" t="s">
        <v>2798</v>
      </c>
      <c r="F393" s="4795" t="s">
        <v>2185</v>
      </c>
      <c r="G393" s="4795" t="s">
        <v>2799</v>
      </c>
      <c r="H393" s="4795" t="s">
        <v>18</v>
      </c>
      <c r="I393" s="4795" t="s">
        <v>599</v>
      </c>
    </row>
    <row customHeight="1" ht="11.25">
      <c r="A394" s="4795" t="s">
        <v>2178</v>
      </c>
      <c r="B394" s="4795" t="s">
        <v>14</v>
      </c>
      <c r="C394" s="4795" t="s">
        <v>2800</v>
      </c>
      <c r="D394" s="4795" t="s">
        <v>2801</v>
      </c>
      <c r="E394" s="4795" t="s">
        <v>2802</v>
      </c>
      <c r="F394" s="4795" t="s">
        <v>2312</v>
      </c>
      <c r="G394" s="4795" t="s">
        <v>18</v>
      </c>
      <c r="H394" s="4795" t="s">
        <v>18</v>
      </c>
      <c r="I394" s="4795" t="s">
        <v>599</v>
      </c>
    </row>
    <row customHeight="1" ht="11.25">
      <c r="A395" s="4795" t="s">
        <v>2178</v>
      </c>
      <c r="B395" s="4795" t="s">
        <v>14</v>
      </c>
      <c r="C395" s="4795" t="s">
        <v>2803</v>
      </c>
      <c r="D395" s="4795" t="s">
        <v>2804</v>
      </c>
      <c r="E395" s="4795" t="s">
        <v>2805</v>
      </c>
      <c r="F395" s="4795" t="s">
        <v>2602</v>
      </c>
      <c r="G395" s="4795" t="s">
        <v>2806</v>
      </c>
      <c r="H395" s="4795" t="s">
        <v>18</v>
      </c>
      <c r="I395" s="4795" t="s">
        <v>599</v>
      </c>
    </row>
    <row customHeight="1" ht="11.25">
      <c r="A396" s="4795" t="s">
        <v>2178</v>
      </c>
      <c r="B396" s="4795" t="s">
        <v>14</v>
      </c>
      <c r="C396" s="4795" t="s">
        <v>2807</v>
      </c>
      <c r="D396" s="4795" t="s">
        <v>2808</v>
      </c>
      <c r="E396" s="4795" t="s">
        <v>2809</v>
      </c>
      <c r="F396" s="4795" t="s">
        <v>2238</v>
      </c>
      <c r="G396" s="4795" t="s">
        <v>2810</v>
      </c>
      <c r="H396" s="4795" t="s">
        <v>18</v>
      </c>
      <c r="I396" s="4795" t="s">
        <v>599</v>
      </c>
    </row>
    <row customHeight="1" ht="11.25">
      <c r="A397" s="4795" t="s">
        <v>2178</v>
      </c>
      <c r="B397" s="4795" t="s">
        <v>14</v>
      </c>
      <c r="C397" s="4795" t="s">
        <v>2948</v>
      </c>
      <c r="D397" s="4795" t="s">
        <v>2949</v>
      </c>
      <c r="E397" s="4795" t="s">
        <v>2950</v>
      </c>
      <c r="F397" s="4795" t="s">
        <v>2181</v>
      </c>
      <c r="G397" s="4795" t="s">
        <v>18</v>
      </c>
      <c r="H397" s="4795" t="s">
        <v>18</v>
      </c>
      <c r="I397" s="4795" t="s">
        <v>599</v>
      </c>
    </row>
    <row customHeight="1" ht="11.25">
      <c r="A398" s="4795" t="s">
        <v>2178</v>
      </c>
      <c r="B398" s="4795" t="s">
        <v>14</v>
      </c>
      <c r="C398" s="4795" t="s">
        <v>2443</v>
      </c>
      <c r="D398" s="4795" t="s">
        <v>2444</v>
      </c>
      <c r="E398" s="4795" t="s">
        <v>2445</v>
      </c>
      <c r="F398" s="4795" t="s">
        <v>2411</v>
      </c>
      <c r="G398" s="4795" t="s">
        <v>18</v>
      </c>
      <c r="H398" s="4795" t="s">
        <v>18</v>
      </c>
      <c r="I398" s="4795" t="s">
        <v>599</v>
      </c>
    </row>
    <row customHeight="1" ht="11.25">
      <c r="A399" s="4795" t="s">
        <v>2178</v>
      </c>
      <c r="B399" s="4795" t="s">
        <v>14</v>
      </c>
      <c r="C399" s="4795" t="s">
        <v>2815</v>
      </c>
      <c r="D399" s="4795" t="s">
        <v>2816</v>
      </c>
      <c r="E399" s="4795" t="s">
        <v>2817</v>
      </c>
      <c r="F399" s="4795" t="s">
        <v>2359</v>
      </c>
      <c r="G399" s="4795" t="s">
        <v>18</v>
      </c>
      <c r="H399" s="4795" t="s">
        <v>18</v>
      </c>
      <c r="I399" s="4795" t="s">
        <v>599</v>
      </c>
    </row>
    <row customHeight="1" ht="11.25">
      <c r="A400" s="4795" t="s">
        <v>2178</v>
      </c>
      <c r="B400" s="4795" t="s">
        <v>14</v>
      </c>
      <c r="C400" s="4795" t="s">
        <v>2456</v>
      </c>
      <c r="D400" s="4795" t="s">
        <v>2457</v>
      </c>
      <c r="E400" s="4795" t="s">
        <v>2458</v>
      </c>
      <c r="F400" s="4795" t="s">
        <v>51</v>
      </c>
      <c r="G400" s="4795" t="s">
        <v>18</v>
      </c>
      <c r="H400" s="4795" t="s">
        <v>18</v>
      </c>
      <c r="I400" s="4795" t="s">
        <v>599</v>
      </c>
    </row>
    <row customHeight="1" ht="11.25">
      <c r="A401" s="4795" t="s">
        <v>2178</v>
      </c>
      <c r="B401" s="4795" t="s">
        <v>14</v>
      </c>
      <c r="C401" s="4795" t="s">
        <v>2474</v>
      </c>
      <c r="D401" s="4795" t="s">
        <v>2475</v>
      </c>
      <c r="E401" s="4795" t="s">
        <v>2476</v>
      </c>
      <c r="F401" s="4795" t="s">
        <v>2380</v>
      </c>
      <c r="G401" s="4795" t="s">
        <v>2477</v>
      </c>
      <c r="H401" s="4795" t="s">
        <v>18</v>
      </c>
      <c r="I401" s="4795" t="s">
        <v>599</v>
      </c>
    </row>
    <row customHeight="1" ht="11.25">
      <c r="A402" s="4795" t="s">
        <v>2178</v>
      </c>
      <c r="B402" s="4795" t="s">
        <v>14</v>
      </c>
      <c r="C402" s="4795" t="s">
        <v>2818</v>
      </c>
      <c r="D402" s="4795" t="s">
        <v>2819</v>
      </c>
      <c r="E402" s="4795" t="s">
        <v>2820</v>
      </c>
      <c r="F402" s="4795" t="s">
        <v>2366</v>
      </c>
      <c r="G402" s="4795" t="s">
        <v>18</v>
      </c>
      <c r="H402" s="4795" t="s">
        <v>18</v>
      </c>
      <c r="I402" s="4795" t="s">
        <v>599</v>
      </c>
    </row>
    <row customHeight="1" ht="11.25">
      <c r="A403" s="4795" t="s">
        <v>2178</v>
      </c>
      <c r="B403" s="4795" t="s">
        <v>14</v>
      </c>
      <c r="C403" s="4795" t="s">
        <v>2821</v>
      </c>
      <c r="D403" s="4795" t="s">
        <v>2822</v>
      </c>
      <c r="E403" s="4795" t="s">
        <v>2823</v>
      </c>
      <c r="F403" s="4795" t="s">
        <v>2312</v>
      </c>
      <c r="G403" s="4795" t="s">
        <v>18</v>
      </c>
      <c r="H403" s="4795" t="s">
        <v>18</v>
      </c>
      <c r="I403" s="4795" t="s">
        <v>599</v>
      </c>
    </row>
    <row customHeight="1" ht="11.25">
      <c r="A404" s="4795" t="s">
        <v>2178</v>
      </c>
      <c r="B404" s="4795" t="s">
        <v>14</v>
      </c>
      <c r="C404" s="4795" t="s">
        <v>2824</v>
      </c>
      <c r="D404" s="4795" t="s">
        <v>2825</v>
      </c>
      <c r="E404" s="4795" t="s">
        <v>2826</v>
      </c>
      <c r="F404" s="4795" t="s">
        <v>2827</v>
      </c>
      <c r="G404" s="4795" t="s">
        <v>18</v>
      </c>
      <c r="H404" s="4795" t="s">
        <v>18</v>
      </c>
      <c r="I404" s="4795" t="s">
        <v>599</v>
      </c>
    </row>
    <row customHeight="1" ht="11.25">
      <c r="A405" s="4795" t="s">
        <v>2178</v>
      </c>
      <c r="B405" s="4795" t="s">
        <v>14</v>
      </c>
      <c r="C405" s="4795" t="s">
        <v>2828</v>
      </c>
      <c r="D405" s="4795" t="s">
        <v>2829</v>
      </c>
      <c r="E405" s="4795" t="s">
        <v>2830</v>
      </c>
      <c r="F405" s="4795" t="s">
        <v>2380</v>
      </c>
      <c r="G405" s="4795" t="s">
        <v>18</v>
      </c>
      <c r="H405" s="4795" t="s">
        <v>18</v>
      </c>
      <c r="I405" s="4795" t="s">
        <v>599</v>
      </c>
    </row>
    <row customHeight="1" ht="11.25">
      <c r="A406" s="4795" t="s">
        <v>2178</v>
      </c>
      <c r="B406" s="4795" t="s">
        <v>14</v>
      </c>
      <c r="C406" s="4795" t="s">
        <v>2831</v>
      </c>
      <c r="D406" s="4795" t="s">
        <v>2832</v>
      </c>
      <c r="E406" s="4795" t="s">
        <v>2833</v>
      </c>
      <c r="F406" s="4795" t="s">
        <v>2210</v>
      </c>
      <c r="G406" s="4795" t="s">
        <v>18</v>
      </c>
      <c r="H406" s="4795" t="s">
        <v>18</v>
      </c>
      <c r="I406" s="4795" t="s">
        <v>599</v>
      </c>
    </row>
    <row customHeight="1" ht="11.25">
      <c r="A407" s="4795" t="s">
        <v>2178</v>
      </c>
      <c r="B407" s="4795" t="s">
        <v>14</v>
      </c>
      <c r="C407" s="4795" t="s">
        <v>2493</v>
      </c>
      <c r="D407" s="4795" t="s">
        <v>2494</v>
      </c>
      <c r="E407" s="4795" t="s">
        <v>2495</v>
      </c>
      <c r="F407" s="4795" t="s">
        <v>2359</v>
      </c>
      <c r="G407" s="4795" t="s">
        <v>2239</v>
      </c>
      <c r="H407" s="4795" t="s">
        <v>18</v>
      </c>
      <c r="I407" s="4795" t="s">
        <v>599</v>
      </c>
    </row>
    <row customHeight="1" ht="11.25">
      <c r="A408" s="4795" t="s">
        <v>2178</v>
      </c>
      <c r="B408" s="4795" t="s">
        <v>14</v>
      </c>
      <c r="C408" s="4795" t="s">
        <v>2951</v>
      </c>
      <c r="D408" s="4795" t="s">
        <v>2952</v>
      </c>
      <c r="E408" s="4795" t="s">
        <v>2953</v>
      </c>
      <c r="F408" s="4795" t="s">
        <v>2499</v>
      </c>
      <c r="G408" s="4795" t="s">
        <v>2954</v>
      </c>
      <c r="H408" s="4795" t="s">
        <v>18</v>
      </c>
      <c r="I408" s="4795" t="s">
        <v>599</v>
      </c>
    </row>
    <row customHeight="1" ht="11.25">
      <c r="A409" s="4795" t="s">
        <v>2178</v>
      </c>
      <c r="B409" s="4795" t="s">
        <v>14</v>
      </c>
      <c r="C409" s="4795" t="s">
        <v>2834</v>
      </c>
      <c r="D409" s="4795" t="s">
        <v>2835</v>
      </c>
      <c r="E409" s="4795" t="s">
        <v>2836</v>
      </c>
      <c r="F409" s="4795" t="s">
        <v>2359</v>
      </c>
      <c r="G409" s="4795" t="s">
        <v>18</v>
      </c>
      <c r="H409" s="4795" t="s">
        <v>18</v>
      </c>
      <c r="I409" s="4795" t="s">
        <v>599</v>
      </c>
    </row>
    <row customHeight="1" ht="11.25">
      <c r="A410" s="4795" t="s">
        <v>2178</v>
      </c>
      <c r="B410" s="4795" t="s">
        <v>14</v>
      </c>
      <c r="C410" s="4795" t="s">
        <v>2517</v>
      </c>
      <c r="D410" s="4795" t="s">
        <v>2518</v>
      </c>
      <c r="E410" s="4795" t="s">
        <v>2519</v>
      </c>
      <c r="F410" s="4795" t="s">
        <v>2520</v>
      </c>
      <c r="G410" s="4795" t="s">
        <v>18</v>
      </c>
      <c r="H410" s="4795" t="s">
        <v>18</v>
      </c>
      <c r="I410" s="4795" t="s">
        <v>599</v>
      </c>
    </row>
    <row customHeight="1" ht="11.25">
      <c r="A411" s="4795" t="s">
        <v>2178</v>
      </c>
      <c r="B411" s="4795" t="s">
        <v>14</v>
      </c>
      <c r="C411" s="4795" t="s">
        <v>2840</v>
      </c>
      <c r="D411" s="4795" t="s">
        <v>2841</v>
      </c>
      <c r="E411" s="4795" t="s">
        <v>2842</v>
      </c>
      <c r="F411" s="4795" t="s">
        <v>2210</v>
      </c>
      <c r="G411" s="4795" t="s">
        <v>18</v>
      </c>
      <c r="H411" s="4795" t="s">
        <v>18</v>
      </c>
      <c r="I411" s="4795" t="s">
        <v>599</v>
      </c>
    </row>
    <row customHeight="1" ht="11.25">
      <c r="A412" s="4795" t="s">
        <v>2178</v>
      </c>
      <c r="B412" s="4795" t="s">
        <v>14</v>
      </c>
      <c r="C412" s="4795" t="s">
        <v>2843</v>
      </c>
      <c r="D412" s="4795" t="s">
        <v>2844</v>
      </c>
      <c r="E412" s="4795" t="s">
        <v>2845</v>
      </c>
      <c r="F412" s="4795" t="s">
        <v>2411</v>
      </c>
      <c r="G412" s="4795" t="s">
        <v>18</v>
      </c>
      <c r="H412" s="4795" t="s">
        <v>18</v>
      </c>
      <c r="I412" s="4795" t="s">
        <v>599</v>
      </c>
    </row>
    <row customHeight="1" ht="11.25">
      <c r="A413" s="4795" t="s">
        <v>2178</v>
      </c>
      <c r="B413" s="4795" t="s">
        <v>14</v>
      </c>
      <c r="C413" s="4795" t="s">
        <v>2852</v>
      </c>
      <c r="D413" s="4795" t="s">
        <v>2853</v>
      </c>
      <c r="E413" s="4795" t="s">
        <v>2854</v>
      </c>
      <c r="F413" s="4795" t="s">
        <v>2283</v>
      </c>
      <c r="G413" s="4795" t="s">
        <v>18</v>
      </c>
      <c r="H413" s="4795" t="s">
        <v>18</v>
      </c>
      <c r="I413" s="4795" t="s">
        <v>599</v>
      </c>
    </row>
    <row customHeight="1" ht="11.25">
      <c r="A414" s="4795" t="s">
        <v>2178</v>
      </c>
      <c r="B414" s="4795" t="s">
        <v>14</v>
      </c>
      <c r="C414" s="4795" t="s">
        <v>2855</v>
      </c>
      <c r="D414" s="4795" t="s">
        <v>2856</v>
      </c>
      <c r="E414" s="4795" t="s">
        <v>2857</v>
      </c>
      <c r="F414" s="4795" t="s">
        <v>2181</v>
      </c>
      <c r="G414" s="4795" t="s">
        <v>18</v>
      </c>
      <c r="H414" s="4795" t="s">
        <v>18</v>
      </c>
      <c r="I414" s="4795" t="s">
        <v>599</v>
      </c>
    </row>
    <row customHeight="1" ht="11.25">
      <c r="A415" s="4795" t="s">
        <v>2178</v>
      </c>
      <c r="B415" s="4795" t="s">
        <v>14</v>
      </c>
      <c r="C415" s="4795" t="s">
        <v>2861</v>
      </c>
      <c r="D415" s="4795" t="s">
        <v>2862</v>
      </c>
      <c r="E415" s="4795" t="s">
        <v>2863</v>
      </c>
      <c r="F415" s="4795" t="s">
        <v>2229</v>
      </c>
      <c r="G415" s="4795" t="s">
        <v>2864</v>
      </c>
      <c r="H415" s="4795" t="s">
        <v>18</v>
      </c>
      <c r="I415" s="4795" t="s">
        <v>599</v>
      </c>
    </row>
    <row customHeight="1" ht="11.25">
      <c r="A416" s="4795" t="s">
        <v>2178</v>
      </c>
      <c r="B416" s="4795" t="s">
        <v>14</v>
      </c>
      <c r="C416" s="4795" t="s">
        <v>2865</v>
      </c>
      <c r="D416" s="4795" t="s">
        <v>2866</v>
      </c>
      <c r="E416" s="4795" t="s">
        <v>2180</v>
      </c>
      <c r="F416" s="4795" t="s">
        <v>2181</v>
      </c>
      <c r="G416" s="4795" t="s">
        <v>18</v>
      </c>
      <c r="H416" s="4795" t="s">
        <v>18</v>
      </c>
      <c r="I416" s="4795" t="s">
        <v>599</v>
      </c>
    </row>
    <row customHeight="1" ht="11.25">
      <c r="A417" s="4795" t="s">
        <v>2178</v>
      </c>
      <c r="B417" s="4795" t="s">
        <v>14</v>
      </c>
      <c r="C417" s="4795" t="s">
        <v>2867</v>
      </c>
      <c r="D417" s="4795" t="s">
        <v>2868</v>
      </c>
      <c r="E417" s="4795" t="s">
        <v>2869</v>
      </c>
      <c r="F417" s="4795" t="s">
        <v>2185</v>
      </c>
      <c r="G417" s="4795" t="s">
        <v>18</v>
      </c>
      <c r="H417" s="4795" t="s">
        <v>18</v>
      </c>
      <c r="I417" s="4795" t="s">
        <v>599</v>
      </c>
    </row>
    <row customHeight="1" ht="11.25">
      <c r="A418" s="4795" t="s">
        <v>2178</v>
      </c>
      <c r="B418" s="4795" t="s">
        <v>14</v>
      </c>
      <c r="C418" s="4795" t="s">
        <v>2870</v>
      </c>
      <c r="D418" s="4795" t="s">
        <v>2871</v>
      </c>
      <c r="E418" s="4795" t="s">
        <v>2872</v>
      </c>
      <c r="F418" s="4795" t="s">
        <v>2185</v>
      </c>
      <c r="G418" s="4795" t="s">
        <v>18</v>
      </c>
      <c r="H418" s="4795" t="s">
        <v>18</v>
      </c>
      <c r="I418" s="4795" t="s">
        <v>599</v>
      </c>
    </row>
    <row customHeight="1" ht="11.25">
      <c r="A419" s="4795" t="s">
        <v>2178</v>
      </c>
      <c r="B419" s="4795" t="s">
        <v>14</v>
      </c>
      <c r="C419" s="4795" t="s">
        <v>2524</v>
      </c>
      <c r="D419" s="4795" t="s">
        <v>2525</v>
      </c>
      <c r="E419" s="4795" t="s">
        <v>2526</v>
      </c>
      <c r="F419" s="4795" t="s">
        <v>2193</v>
      </c>
      <c r="G419" s="4795" t="s">
        <v>18</v>
      </c>
      <c r="H419" s="4795" t="s">
        <v>18</v>
      </c>
      <c r="I419" s="4795" t="s">
        <v>599</v>
      </c>
    </row>
    <row customHeight="1" ht="11.25">
      <c r="A420" s="4795" t="s">
        <v>2178</v>
      </c>
      <c r="B420" s="4795" t="s">
        <v>14</v>
      </c>
      <c r="C420" s="4795" t="s">
        <v>2535</v>
      </c>
      <c r="D420" s="4795" t="s">
        <v>2536</v>
      </c>
      <c r="E420" s="4795" t="s">
        <v>2537</v>
      </c>
      <c r="F420" s="4795" t="s">
        <v>2506</v>
      </c>
      <c r="G420" s="4795" t="s">
        <v>2538</v>
      </c>
      <c r="H420" s="4795" t="s">
        <v>18</v>
      </c>
      <c r="I420" s="4795" t="s">
        <v>599</v>
      </c>
    </row>
    <row customHeight="1" ht="11.25">
      <c r="A421" s="4795" t="s">
        <v>2178</v>
      </c>
      <c r="B421" s="4795" t="s">
        <v>14</v>
      </c>
      <c r="C421" s="4795" t="s">
        <v>2539</v>
      </c>
      <c r="D421" s="4795" t="s">
        <v>2540</v>
      </c>
      <c r="E421" s="4795" t="s">
        <v>2541</v>
      </c>
      <c r="F421" s="4795" t="s">
        <v>2229</v>
      </c>
      <c r="G421" s="4795" t="s">
        <v>2542</v>
      </c>
      <c r="H421" s="4795" t="s">
        <v>18</v>
      </c>
      <c r="I421" s="4795" t="s">
        <v>599</v>
      </c>
    </row>
    <row customHeight="1" ht="11.25">
      <c r="A422" s="4795" t="s">
        <v>2178</v>
      </c>
      <c r="B422" s="4795" t="s">
        <v>14</v>
      </c>
      <c r="C422" s="4795" t="s">
        <v>2879</v>
      </c>
      <c r="D422" s="4795" t="s">
        <v>2880</v>
      </c>
      <c r="E422" s="4795" t="s">
        <v>2881</v>
      </c>
      <c r="F422" s="4795" t="s">
        <v>2882</v>
      </c>
      <c r="G422" s="4795" t="s">
        <v>18</v>
      </c>
      <c r="H422" s="4795" t="s">
        <v>18</v>
      </c>
      <c r="I422" s="4795" t="s">
        <v>599</v>
      </c>
    </row>
    <row customHeight="1" ht="11.25">
      <c r="A423" s="4795" t="s">
        <v>2178</v>
      </c>
      <c r="B423" s="4795" t="s">
        <v>14</v>
      </c>
      <c r="C423" s="4795" t="s">
        <v>2883</v>
      </c>
      <c r="D423" s="4795" t="s">
        <v>2884</v>
      </c>
      <c r="E423" s="4795" t="s">
        <v>2885</v>
      </c>
      <c r="F423" s="4795" t="s">
        <v>2312</v>
      </c>
      <c r="G423" s="4795" t="s">
        <v>18</v>
      </c>
      <c r="H423" s="4795" t="s">
        <v>18</v>
      </c>
      <c r="I423" s="4795" t="s">
        <v>599</v>
      </c>
    </row>
    <row customHeight="1" ht="11.25">
      <c r="A424" s="4795" t="s">
        <v>2178</v>
      </c>
      <c r="B424" s="4795" t="s">
        <v>14</v>
      </c>
      <c r="C424" s="4795" t="s">
        <v>2553</v>
      </c>
      <c r="D424" s="4795" t="s">
        <v>2554</v>
      </c>
      <c r="E424" s="4795" t="s">
        <v>2555</v>
      </c>
      <c r="F424" s="4795" t="s">
        <v>2380</v>
      </c>
      <c r="G424" s="4795" t="s">
        <v>18</v>
      </c>
      <c r="H424" s="4795" t="s">
        <v>18</v>
      </c>
      <c r="I424" s="4795" t="s">
        <v>599</v>
      </c>
    </row>
    <row customHeight="1" ht="11.25">
      <c r="A425" s="4795" t="s">
        <v>2178</v>
      </c>
      <c r="B425" s="4795" t="s">
        <v>14</v>
      </c>
      <c r="C425" s="4795" t="s">
        <v>2556</v>
      </c>
      <c r="D425" s="4795" t="s">
        <v>2557</v>
      </c>
      <c r="E425" s="4795" t="s">
        <v>2558</v>
      </c>
      <c r="F425" s="4795" t="s">
        <v>2559</v>
      </c>
      <c r="G425" s="4795" t="s">
        <v>2560</v>
      </c>
      <c r="H425" s="4795" t="s">
        <v>18</v>
      </c>
      <c r="I425" s="4795" t="s">
        <v>599</v>
      </c>
    </row>
    <row customHeight="1" ht="11.25">
      <c r="A426" s="4795" t="s">
        <v>2178</v>
      </c>
      <c r="B426" s="4795" t="s">
        <v>14</v>
      </c>
      <c r="C426" s="4795" t="s">
        <v>2561</v>
      </c>
      <c r="D426" s="4795" t="s">
        <v>2562</v>
      </c>
      <c r="E426" s="4795" t="s">
        <v>2563</v>
      </c>
      <c r="F426" s="4795" t="s">
        <v>2380</v>
      </c>
      <c r="G426" s="4795" t="s">
        <v>18</v>
      </c>
      <c r="H426" s="4795" t="s">
        <v>18</v>
      </c>
      <c r="I426" s="4795" t="s">
        <v>599</v>
      </c>
    </row>
    <row customHeight="1" ht="11.25">
      <c r="A427" s="4795" t="s">
        <v>2178</v>
      </c>
      <c r="B427" s="4795" t="s">
        <v>14</v>
      </c>
      <c r="C427" s="4795" t="s">
        <v>2567</v>
      </c>
      <c r="D427" s="4795" t="s">
        <v>2568</v>
      </c>
      <c r="E427" s="4795" t="s">
        <v>2569</v>
      </c>
      <c r="F427" s="4795" t="s">
        <v>2312</v>
      </c>
      <c r="G427" s="4795" t="s">
        <v>18</v>
      </c>
      <c r="H427" s="4795" t="s">
        <v>18</v>
      </c>
      <c r="I427" s="4795" t="s">
        <v>599</v>
      </c>
    </row>
    <row customHeight="1" ht="11.25">
      <c r="A428" s="4795" t="s">
        <v>2178</v>
      </c>
      <c r="B428" s="4795" t="s">
        <v>14</v>
      </c>
      <c r="C428" s="4795" t="s">
        <v>2886</v>
      </c>
      <c r="D428" s="4795" t="s">
        <v>2887</v>
      </c>
      <c r="E428" s="4795" t="s">
        <v>2888</v>
      </c>
      <c r="F428" s="4795" t="s">
        <v>2699</v>
      </c>
      <c r="G428" s="4795" t="s">
        <v>18</v>
      </c>
      <c r="H428" s="4795" t="s">
        <v>18</v>
      </c>
      <c r="I428" s="4795" t="s">
        <v>599</v>
      </c>
    </row>
    <row customHeight="1" ht="11.25">
      <c r="A429" s="4795" t="s">
        <v>2178</v>
      </c>
      <c r="B429" s="4795" t="s">
        <v>14</v>
      </c>
      <c r="C429" s="4795" t="s">
        <v>2889</v>
      </c>
      <c r="D429" s="4795" t="s">
        <v>2890</v>
      </c>
      <c r="E429" s="4795" t="s">
        <v>2891</v>
      </c>
      <c r="F429" s="4795" t="s">
        <v>2699</v>
      </c>
      <c r="G429" s="4795" t="s">
        <v>18</v>
      </c>
      <c r="H429" s="4795" t="s">
        <v>18</v>
      </c>
      <c r="I429" s="4795" t="s">
        <v>599</v>
      </c>
    </row>
    <row customHeight="1" ht="11.25">
      <c r="A430" s="4795" t="s">
        <v>2178</v>
      </c>
      <c r="B430" s="4795" t="s">
        <v>14</v>
      </c>
      <c r="C430" s="4795" t="s">
        <v>2892</v>
      </c>
      <c r="D430" s="4795" t="s">
        <v>2893</v>
      </c>
      <c r="E430" s="4795" t="s">
        <v>2894</v>
      </c>
      <c r="F430" s="4795" t="s">
        <v>2210</v>
      </c>
      <c r="G430" s="4795" t="s">
        <v>18</v>
      </c>
      <c r="H430" s="4795" t="s">
        <v>18</v>
      </c>
      <c r="I430" s="4795" t="s">
        <v>599</v>
      </c>
    </row>
    <row customHeight="1" ht="11.25">
      <c r="A431" s="4795" t="s">
        <v>2178</v>
      </c>
      <c r="B431" s="4795" t="s">
        <v>14</v>
      </c>
      <c r="C431" s="4795" t="s">
        <v>2570</v>
      </c>
      <c r="D431" s="4795" t="s">
        <v>2571</v>
      </c>
      <c r="E431" s="4795" t="s">
        <v>2572</v>
      </c>
      <c r="F431" s="4795" t="s">
        <v>2189</v>
      </c>
      <c r="G431" s="4795" t="s">
        <v>18</v>
      </c>
      <c r="H431" s="4795" t="s">
        <v>18</v>
      </c>
      <c r="I431" s="4795" t="s">
        <v>599</v>
      </c>
    </row>
    <row customHeight="1" ht="11.25">
      <c r="A432" s="4795" t="s">
        <v>2178</v>
      </c>
      <c r="B432" s="4795" t="s">
        <v>14</v>
      </c>
      <c r="C432" s="4795" t="s">
        <v>2573</v>
      </c>
      <c r="D432" s="4795" t="s">
        <v>2574</v>
      </c>
      <c r="E432" s="4795" t="s">
        <v>2575</v>
      </c>
      <c r="F432" s="4795" t="s">
        <v>2576</v>
      </c>
      <c r="G432" s="4795" t="s">
        <v>18</v>
      </c>
      <c r="H432" s="4795" t="s">
        <v>18</v>
      </c>
      <c r="I432" s="4795" t="s">
        <v>599</v>
      </c>
    </row>
    <row customHeight="1" ht="11.25">
      <c r="A433" s="4795" t="s">
        <v>2178</v>
      </c>
      <c r="B433" s="4795" t="s">
        <v>14</v>
      </c>
      <c r="C433" s="4795" t="s">
        <v>2904</v>
      </c>
      <c r="D433" s="4795" t="s">
        <v>2905</v>
      </c>
      <c r="E433" s="4795" t="s">
        <v>2906</v>
      </c>
      <c r="F433" s="4795" t="s">
        <v>2758</v>
      </c>
      <c r="G433" s="4795" t="s">
        <v>2907</v>
      </c>
      <c r="H433" s="4795" t="s">
        <v>18</v>
      </c>
      <c r="I433" s="4795" t="s">
        <v>599</v>
      </c>
    </row>
    <row customHeight="1" ht="11.25">
      <c r="A434" s="4795" t="s">
        <v>2178</v>
      </c>
      <c r="B434" s="4795" t="s">
        <v>14</v>
      </c>
      <c r="C434" s="4795" t="s">
        <v>2908</v>
      </c>
      <c r="D434" s="4795" t="s">
        <v>2909</v>
      </c>
      <c r="E434" s="4795" t="s">
        <v>2910</v>
      </c>
      <c r="F434" s="4795" t="s">
        <v>2283</v>
      </c>
      <c r="G434" s="4795" t="s">
        <v>18</v>
      </c>
      <c r="H434" s="4795" t="s">
        <v>18</v>
      </c>
      <c r="I434" s="4795" t="s">
        <v>599</v>
      </c>
    </row>
    <row customHeight="1" ht="11.25">
      <c r="A435" s="4795" t="s">
        <v>2178</v>
      </c>
      <c r="B435" s="4795" t="s">
        <v>14</v>
      </c>
      <c r="C435" s="4795" t="s">
        <v>2911</v>
      </c>
      <c r="D435" s="4795" t="s">
        <v>2912</v>
      </c>
      <c r="E435" s="4795" t="s">
        <v>2913</v>
      </c>
      <c r="F435" s="4795" t="s">
        <v>2304</v>
      </c>
      <c r="G435" s="4795" t="s">
        <v>18</v>
      </c>
      <c r="H435" s="4795" t="s">
        <v>18</v>
      </c>
      <c r="I435" s="4795" t="s">
        <v>599</v>
      </c>
    </row>
    <row customHeight="1" ht="11.25">
      <c r="A436" s="4795" t="s">
        <v>2178</v>
      </c>
      <c r="B436" s="4795" t="s">
        <v>14</v>
      </c>
      <c r="C436" s="4795" t="s">
        <v>2920</v>
      </c>
      <c r="D436" s="4795" t="s">
        <v>2921</v>
      </c>
      <c r="E436" s="4795" t="s">
        <v>2922</v>
      </c>
      <c r="F436" s="4795" t="s">
        <v>2699</v>
      </c>
      <c r="G436" s="4795" t="s">
        <v>2923</v>
      </c>
      <c r="H436" s="4795" t="s">
        <v>18</v>
      </c>
      <c r="I436" s="4795" t="s">
        <v>599</v>
      </c>
    </row>
    <row customHeight="1" ht="11.25">
      <c r="A437" s="4795" t="s">
        <v>2178</v>
      </c>
      <c r="B437" s="4795" t="s">
        <v>14</v>
      </c>
      <c r="C437" s="4795" t="s">
        <v>2924</v>
      </c>
      <c r="D437" s="4795" t="s">
        <v>2925</v>
      </c>
      <c r="E437" s="4795" t="s">
        <v>2926</v>
      </c>
      <c r="F437" s="4795" t="s">
        <v>2238</v>
      </c>
      <c r="G437" s="4795" t="s">
        <v>18</v>
      </c>
      <c r="H437" s="4795" t="s">
        <v>18</v>
      </c>
      <c r="I437" s="4795" t="s">
        <v>599</v>
      </c>
    </row>
    <row customHeight="1" ht="11.25">
      <c r="A438" s="4795" t="s">
        <v>2178</v>
      </c>
      <c r="B438" s="4795" t="s">
        <v>14</v>
      </c>
      <c r="C438" s="4795" t="s">
        <v>2603</v>
      </c>
      <c r="D438" s="4795" t="s">
        <v>2604</v>
      </c>
      <c r="E438" s="4795" t="s">
        <v>2605</v>
      </c>
      <c r="F438" s="4795" t="s">
        <v>2210</v>
      </c>
      <c r="G438" s="4795" t="s">
        <v>18</v>
      </c>
      <c r="H438" s="4795" t="s">
        <v>18</v>
      </c>
      <c r="I438" s="4795" t="s">
        <v>599</v>
      </c>
    </row>
    <row customHeight="1" ht="11.25">
      <c r="A439" s="4795" t="s">
        <v>2178</v>
      </c>
      <c r="B439" s="4795" t="s">
        <v>14</v>
      </c>
      <c r="C439" s="4795" t="s">
        <v>18</v>
      </c>
      <c r="D439" s="4795" t="s">
        <v>2179</v>
      </c>
      <c r="E439" s="4795" t="s">
        <v>2180</v>
      </c>
      <c r="F439" s="4795" t="s">
        <v>2181</v>
      </c>
      <c r="G439" s="4795" t="s">
        <v>18</v>
      </c>
      <c r="H439" s="4795" t="s">
        <v>18</v>
      </c>
      <c r="I439" s="4795" t="s">
        <v>1018</v>
      </c>
    </row>
    <row customHeight="1" ht="11.25">
      <c r="A440" s="4795" t="s">
        <v>2178</v>
      </c>
      <c r="B440" s="4795" t="s">
        <v>14</v>
      </c>
      <c r="C440" s="4795" t="s">
        <v>2955</v>
      </c>
      <c r="D440" s="4795" t="s">
        <v>2956</v>
      </c>
      <c r="E440" s="4795" t="s">
        <v>2957</v>
      </c>
      <c r="F440" s="4795" t="s">
        <v>423</v>
      </c>
      <c r="G440" s="4795" t="s">
        <v>2958</v>
      </c>
      <c r="H440" s="4795" t="s">
        <v>18</v>
      </c>
      <c r="I440" s="4795" t="s">
        <v>1018</v>
      </c>
    </row>
    <row customHeight="1" ht="11.25">
      <c r="A441" s="4795" t="s">
        <v>2178</v>
      </c>
      <c r="B441" s="4795" t="s">
        <v>14</v>
      </c>
      <c r="C441" s="4795" t="s">
        <v>2319</v>
      </c>
      <c r="D441" s="4795" t="s">
        <v>2320</v>
      </c>
      <c r="E441" s="4795" t="s">
        <v>2321</v>
      </c>
      <c r="F441" s="4795" t="s">
        <v>2322</v>
      </c>
      <c r="G441" s="4795" t="s">
        <v>18</v>
      </c>
      <c r="H441" s="4795" t="s">
        <v>18</v>
      </c>
      <c r="I441" s="4795" t="s">
        <v>1018</v>
      </c>
    </row>
    <row customHeight="1" ht="11.25">
      <c r="A442" s="4795" t="s">
        <v>2178</v>
      </c>
      <c r="B442" s="4795" t="s">
        <v>14</v>
      </c>
      <c r="C442" s="4795" t="s">
        <v>2673</v>
      </c>
      <c r="D442" s="4795" t="s">
        <v>2674</v>
      </c>
      <c r="E442" s="4795" t="s">
        <v>2675</v>
      </c>
      <c r="F442" s="4795" t="s">
        <v>2411</v>
      </c>
      <c r="G442" s="4795" t="s">
        <v>18</v>
      </c>
      <c r="H442" s="4795" t="s">
        <v>18</v>
      </c>
      <c r="I442" s="4795" t="s">
        <v>1018</v>
      </c>
    </row>
    <row customHeight="1" ht="11.25">
      <c r="A443" s="4795" t="s">
        <v>2178</v>
      </c>
      <c r="B443" s="4795" t="s">
        <v>14</v>
      </c>
      <c r="C443" s="4795" t="s">
        <v>2959</v>
      </c>
      <c r="D443" s="4795" t="s">
        <v>2960</v>
      </c>
      <c r="E443" s="4795" t="s">
        <v>2961</v>
      </c>
      <c r="F443" s="4795" t="s">
        <v>2424</v>
      </c>
      <c r="G443" s="4795" t="s">
        <v>2962</v>
      </c>
      <c r="H443" s="4795" t="s">
        <v>18</v>
      </c>
      <c r="I443" s="4795" t="s">
        <v>1018</v>
      </c>
    </row>
    <row customHeight="1" ht="11.25">
      <c r="A444" s="4795" t="s">
        <v>2178</v>
      </c>
      <c r="B444" s="4795" t="s">
        <v>14</v>
      </c>
      <c r="C444" s="4795" t="s">
        <v>2334</v>
      </c>
      <c r="D444" s="4795" t="s">
        <v>2335</v>
      </c>
      <c r="E444" s="4795" t="s">
        <v>2336</v>
      </c>
      <c r="F444" s="4795" t="s">
        <v>2210</v>
      </c>
      <c r="G444" s="4795" t="s">
        <v>18</v>
      </c>
      <c r="H444" s="4795" t="s">
        <v>18</v>
      </c>
      <c r="I444" s="4795" t="s">
        <v>1018</v>
      </c>
    </row>
    <row customHeight="1" ht="11.25">
      <c r="A445" s="4795" t="s">
        <v>2178</v>
      </c>
      <c r="B445" s="4795" t="s">
        <v>14</v>
      </c>
      <c r="C445" s="4795" t="s">
        <v>2963</v>
      </c>
      <c r="D445" s="4795" t="s">
        <v>2964</v>
      </c>
      <c r="E445" s="4795" t="s">
        <v>2965</v>
      </c>
      <c r="F445" s="4795" t="s">
        <v>2304</v>
      </c>
      <c r="G445" s="4795" t="s">
        <v>18</v>
      </c>
      <c r="H445" s="4795" t="s">
        <v>18</v>
      </c>
      <c r="I445" s="4795" t="s">
        <v>1018</v>
      </c>
    </row>
    <row customHeight="1" ht="11.25">
      <c r="A446" s="4795" t="s">
        <v>2178</v>
      </c>
      <c r="B446" s="4795" t="s">
        <v>14</v>
      </c>
      <c r="C446" s="4795" t="s">
        <v>2341</v>
      </c>
      <c r="D446" s="4795" t="s">
        <v>2342</v>
      </c>
      <c r="E446" s="4795" t="s">
        <v>2343</v>
      </c>
      <c r="F446" s="4795" t="s">
        <v>2344</v>
      </c>
      <c r="G446" s="4795" t="s">
        <v>18</v>
      </c>
      <c r="H446" s="4795" t="s">
        <v>18</v>
      </c>
      <c r="I446" s="4795" t="s">
        <v>1018</v>
      </c>
    </row>
    <row customHeight="1" ht="11.25">
      <c r="A447" s="4795" t="s">
        <v>2178</v>
      </c>
      <c r="B447" s="4795" t="s">
        <v>14</v>
      </c>
      <c r="C447" s="4795" t="s">
        <v>2345</v>
      </c>
      <c r="D447" s="4795" t="s">
        <v>2346</v>
      </c>
      <c r="E447" s="4795" t="s">
        <v>2347</v>
      </c>
      <c r="F447" s="4795" t="s">
        <v>2344</v>
      </c>
      <c r="G447" s="4795" t="s">
        <v>18</v>
      </c>
      <c r="H447" s="4795" t="s">
        <v>18</v>
      </c>
      <c r="I447" s="4795" t="s">
        <v>1018</v>
      </c>
    </row>
    <row customHeight="1" ht="11.25">
      <c r="A448" s="4795" t="s">
        <v>2178</v>
      </c>
      <c r="B448" s="4795" t="s">
        <v>14</v>
      </c>
      <c r="C448" s="4795" t="s">
        <v>2966</v>
      </c>
      <c r="D448" s="4795" t="s">
        <v>2967</v>
      </c>
      <c r="E448" s="4795" t="s">
        <v>2968</v>
      </c>
      <c r="F448" s="4795" t="s">
        <v>2351</v>
      </c>
      <c r="G448" s="4795" t="s">
        <v>2969</v>
      </c>
      <c r="H448" s="4795" t="s">
        <v>18</v>
      </c>
      <c r="I448" s="4795" t="s">
        <v>1018</v>
      </c>
    </row>
    <row customHeight="1" ht="11.25">
      <c r="A449" s="4795" t="s">
        <v>2178</v>
      </c>
      <c r="B449" s="4795" t="s">
        <v>14</v>
      </c>
      <c r="C449" s="4795" t="s">
        <v>2970</v>
      </c>
      <c r="D449" s="4795" t="s">
        <v>2971</v>
      </c>
      <c r="E449" s="4795" t="s">
        <v>2972</v>
      </c>
      <c r="F449" s="4795" t="s">
        <v>2333</v>
      </c>
      <c r="G449" s="4795" t="s">
        <v>18</v>
      </c>
      <c r="H449" s="4795" t="s">
        <v>18</v>
      </c>
      <c r="I449" s="4795" t="s">
        <v>1018</v>
      </c>
    </row>
    <row customHeight="1" ht="11.25">
      <c r="A450" s="4795" t="s">
        <v>2178</v>
      </c>
      <c r="B450" s="4795" t="s">
        <v>14</v>
      </c>
      <c r="C450" s="4795" t="s">
        <v>2973</v>
      </c>
      <c r="D450" s="4795" t="s">
        <v>2974</v>
      </c>
      <c r="E450" s="4795" t="s">
        <v>2975</v>
      </c>
      <c r="F450" s="4795" t="s">
        <v>51</v>
      </c>
      <c r="G450" s="4795" t="s">
        <v>18</v>
      </c>
      <c r="H450" s="4795" t="s">
        <v>18</v>
      </c>
      <c r="I450" s="4795" t="s">
        <v>1018</v>
      </c>
    </row>
    <row customHeight="1" ht="11.25">
      <c r="A451" s="4795" t="s">
        <v>2178</v>
      </c>
      <c r="B451" s="4795" t="s">
        <v>14</v>
      </c>
      <c r="C451" s="4795" t="s">
        <v>2976</v>
      </c>
      <c r="D451" s="4795" t="s">
        <v>2977</v>
      </c>
      <c r="E451" s="4795" t="s">
        <v>2978</v>
      </c>
      <c r="F451" s="4795" t="s">
        <v>2181</v>
      </c>
      <c r="G451" s="4795" t="s">
        <v>2979</v>
      </c>
      <c r="H451" s="4795" t="s">
        <v>18</v>
      </c>
      <c r="I451" s="4795" t="s">
        <v>1018</v>
      </c>
    </row>
    <row customHeight="1" ht="11.25">
      <c r="A452" s="4795" t="s">
        <v>2178</v>
      </c>
      <c r="B452" s="4795" t="s">
        <v>14</v>
      </c>
      <c r="C452" s="4795" t="s">
        <v>2980</v>
      </c>
      <c r="D452" s="4795" t="s">
        <v>2981</v>
      </c>
      <c r="E452" s="4795" t="s">
        <v>2982</v>
      </c>
      <c r="F452" s="4795" t="s">
        <v>2373</v>
      </c>
      <c r="G452" s="4795" t="s">
        <v>2983</v>
      </c>
      <c r="H452" s="4795" t="s">
        <v>18</v>
      </c>
      <c r="I452" s="4795" t="s">
        <v>1018</v>
      </c>
    </row>
    <row customHeight="1" ht="11.25">
      <c r="A453" s="4795" t="s">
        <v>2178</v>
      </c>
      <c r="B453" s="4795" t="s">
        <v>14</v>
      </c>
      <c r="C453" s="4795" t="s">
        <v>2984</v>
      </c>
      <c r="D453" s="4795" t="s">
        <v>2985</v>
      </c>
      <c r="E453" s="4795" t="s">
        <v>2986</v>
      </c>
      <c r="F453" s="4795" t="s">
        <v>2424</v>
      </c>
      <c r="G453" s="4795" t="s">
        <v>2987</v>
      </c>
      <c r="H453" s="4795" t="s">
        <v>18</v>
      </c>
      <c r="I453" s="4795" t="s">
        <v>1018</v>
      </c>
    </row>
    <row customHeight="1" ht="11.25">
      <c r="A454" s="4795" t="s">
        <v>2178</v>
      </c>
      <c r="B454" s="4795" t="s">
        <v>14</v>
      </c>
      <c r="C454" s="4795" t="s">
        <v>2988</v>
      </c>
      <c r="D454" s="4795" t="s">
        <v>2989</v>
      </c>
      <c r="E454" s="4795" t="s">
        <v>2990</v>
      </c>
      <c r="F454" s="4795" t="s">
        <v>2452</v>
      </c>
      <c r="G454" s="4795" t="s">
        <v>2991</v>
      </c>
      <c r="H454" s="4795" t="s">
        <v>18</v>
      </c>
      <c r="I454" s="4795" t="s">
        <v>1018</v>
      </c>
    </row>
    <row customHeight="1" ht="11.25">
      <c r="A455" s="4795" t="s">
        <v>2178</v>
      </c>
      <c r="B455" s="4795" t="s">
        <v>14</v>
      </c>
      <c r="C455" s="4795" t="s">
        <v>2992</v>
      </c>
      <c r="D455" s="4795" t="s">
        <v>2993</v>
      </c>
      <c r="E455" s="4795" t="s">
        <v>2994</v>
      </c>
      <c r="F455" s="4795" t="s">
        <v>2520</v>
      </c>
      <c r="G455" s="4795" t="s">
        <v>2995</v>
      </c>
      <c r="H455" s="4795" t="s">
        <v>18</v>
      </c>
      <c r="I455" s="4795" t="s">
        <v>1018</v>
      </c>
    </row>
    <row customHeight="1" ht="11.25">
      <c r="A456" s="4795" t="s">
        <v>2178</v>
      </c>
      <c r="B456" s="4795" t="s">
        <v>14</v>
      </c>
      <c r="C456" s="4795" t="s">
        <v>2996</v>
      </c>
      <c r="D456" s="4795" t="s">
        <v>2997</v>
      </c>
      <c r="E456" s="4795" t="s">
        <v>2998</v>
      </c>
      <c r="F456" s="4795" t="s">
        <v>2688</v>
      </c>
      <c r="G456" s="4795" t="s">
        <v>2999</v>
      </c>
      <c r="H456" s="4795" t="s">
        <v>18</v>
      </c>
      <c r="I456" s="4795" t="s">
        <v>1018</v>
      </c>
    </row>
    <row customHeight="1" ht="11.25">
      <c r="A457" s="4795" t="s">
        <v>2178</v>
      </c>
      <c r="B457" s="4795" t="s">
        <v>14</v>
      </c>
      <c r="C457" s="4795" t="s">
        <v>2789</v>
      </c>
      <c r="D457" s="4795" t="s">
        <v>2790</v>
      </c>
      <c r="E457" s="4795" t="s">
        <v>2791</v>
      </c>
      <c r="F457" s="4795" t="s">
        <v>2411</v>
      </c>
      <c r="G457" s="4795" t="s">
        <v>18</v>
      </c>
      <c r="H457" s="4795" t="s">
        <v>18</v>
      </c>
      <c r="I457" s="4795" t="s">
        <v>1018</v>
      </c>
    </row>
    <row customHeight="1" ht="11.25">
      <c r="A458" s="4795" t="s">
        <v>2178</v>
      </c>
      <c r="B458" s="4795" t="s">
        <v>14</v>
      </c>
      <c r="C458" s="4795" t="s">
        <v>3000</v>
      </c>
      <c r="D458" s="4795" t="s">
        <v>3001</v>
      </c>
      <c r="E458" s="4795" t="s">
        <v>3002</v>
      </c>
      <c r="F458" s="4795" t="s">
        <v>2602</v>
      </c>
      <c r="G458" s="4795" t="s">
        <v>3003</v>
      </c>
      <c r="H458" s="4795" t="s">
        <v>18</v>
      </c>
      <c r="I458" s="4795" t="s">
        <v>1018</v>
      </c>
    </row>
    <row customHeight="1" ht="11.25">
      <c r="A459" s="4795" t="s">
        <v>2178</v>
      </c>
      <c r="B459" s="4795" t="s">
        <v>14</v>
      </c>
      <c r="C459" s="4795" t="s">
        <v>3004</v>
      </c>
      <c r="D459" s="4795" t="s">
        <v>3005</v>
      </c>
      <c r="E459" s="4795" t="s">
        <v>3006</v>
      </c>
      <c r="F459" s="4795" t="s">
        <v>2238</v>
      </c>
      <c r="G459" s="4795" t="s">
        <v>18</v>
      </c>
      <c r="H459" s="4795" t="s">
        <v>18</v>
      </c>
      <c r="I459" s="4795" t="s">
        <v>1018</v>
      </c>
    </row>
    <row customHeight="1" ht="11.25">
      <c r="A460" s="4795" t="s">
        <v>2178</v>
      </c>
      <c r="B460" s="4795" t="s">
        <v>14</v>
      </c>
      <c r="C460" s="4795" t="s">
        <v>3007</v>
      </c>
      <c r="D460" s="4795" t="s">
        <v>3008</v>
      </c>
      <c r="E460" s="4795" t="s">
        <v>3009</v>
      </c>
      <c r="F460" s="4795" t="s">
        <v>2185</v>
      </c>
      <c r="G460" s="4795" t="s">
        <v>3010</v>
      </c>
      <c r="H460" s="4795" t="s">
        <v>18</v>
      </c>
      <c r="I460" s="4795" t="s">
        <v>1018</v>
      </c>
    </row>
    <row customHeight="1" ht="11.25">
      <c r="A461" s="4795" t="s">
        <v>2178</v>
      </c>
      <c r="B461" s="4795" t="s">
        <v>14</v>
      </c>
      <c r="C461" s="4795" t="s">
        <v>3011</v>
      </c>
      <c r="D461" s="4795" t="s">
        <v>3012</v>
      </c>
      <c r="E461" s="4795" t="s">
        <v>3013</v>
      </c>
      <c r="F461" s="4795" t="s">
        <v>2499</v>
      </c>
      <c r="G461" s="4795" t="s">
        <v>18</v>
      </c>
      <c r="H461" s="4795" t="s">
        <v>18</v>
      </c>
      <c r="I461" s="4795" t="s">
        <v>1018</v>
      </c>
    </row>
    <row customHeight="1" ht="11.25">
      <c r="A462" s="4795" t="s">
        <v>2178</v>
      </c>
      <c r="B462" s="4795" t="s">
        <v>14</v>
      </c>
      <c r="C462" s="4795" t="s">
        <v>3014</v>
      </c>
      <c r="D462" s="4795" t="s">
        <v>3015</v>
      </c>
      <c r="E462" s="4795" t="s">
        <v>3016</v>
      </c>
      <c r="F462" s="4795" t="s">
        <v>2333</v>
      </c>
      <c r="G462" s="4795" t="s">
        <v>3017</v>
      </c>
      <c r="H462" s="4795" t="s">
        <v>18</v>
      </c>
      <c r="I462" s="4795" t="s">
        <v>1018</v>
      </c>
    </row>
    <row customHeight="1" ht="11.25">
      <c r="A463" s="4795" t="s">
        <v>2178</v>
      </c>
      <c r="B463" s="4795" t="s">
        <v>14</v>
      </c>
      <c r="C463" s="4795" t="s">
        <v>3018</v>
      </c>
      <c r="D463" s="4795" t="s">
        <v>3019</v>
      </c>
      <c r="E463" s="4795" t="s">
        <v>3020</v>
      </c>
      <c r="F463" s="4795" t="s">
        <v>2441</v>
      </c>
      <c r="G463" s="4795" t="s">
        <v>18</v>
      </c>
      <c r="H463" s="4795" t="s">
        <v>18</v>
      </c>
      <c r="I463" s="4795" t="s">
        <v>1018</v>
      </c>
    </row>
    <row customHeight="1" ht="11.25">
      <c r="A464" s="4795" t="s">
        <v>2178</v>
      </c>
      <c r="B464" s="4795" t="s">
        <v>14</v>
      </c>
      <c r="C464" s="4795" t="s">
        <v>3021</v>
      </c>
      <c r="D464" s="4795" t="s">
        <v>3022</v>
      </c>
      <c r="E464" s="4795" t="s">
        <v>3023</v>
      </c>
      <c r="F464" s="4795" t="s">
        <v>2185</v>
      </c>
      <c r="G464" s="4795" t="s">
        <v>3024</v>
      </c>
      <c r="H464" s="4795" t="s">
        <v>18</v>
      </c>
      <c r="I464" s="4795" t="s">
        <v>1018</v>
      </c>
    </row>
    <row customHeight="1" ht="11.25">
      <c r="A465" s="4795" t="s">
        <v>2178</v>
      </c>
      <c r="B465" s="4795" t="s">
        <v>14</v>
      </c>
      <c r="C465" s="4795" t="s">
        <v>3025</v>
      </c>
      <c r="D465" s="4795" t="s">
        <v>3026</v>
      </c>
      <c r="E465" s="4795" t="s">
        <v>3027</v>
      </c>
      <c r="F465" s="4795" t="s">
        <v>2181</v>
      </c>
      <c r="G465" s="4795" t="s">
        <v>3028</v>
      </c>
      <c r="H465" s="4795" t="s">
        <v>18</v>
      </c>
      <c r="I465" s="4795" t="s">
        <v>1018</v>
      </c>
    </row>
    <row customHeight="1" ht="11.25">
      <c r="A466" s="4795" t="s">
        <v>2178</v>
      </c>
      <c r="B466" s="4795" t="s">
        <v>14</v>
      </c>
      <c r="C466" s="4795" t="s">
        <v>3029</v>
      </c>
      <c r="D466" s="4795" t="s">
        <v>3030</v>
      </c>
      <c r="E466" s="4795" t="s">
        <v>3031</v>
      </c>
      <c r="F466" s="4795" t="s">
        <v>2283</v>
      </c>
      <c r="G466" s="4795" t="s">
        <v>18</v>
      </c>
      <c r="H466" s="4795" t="s">
        <v>18</v>
      </c>
      <c r="I466" s="4795" t="s">
        <v>1018</v>
      </c>
    </row>
    <row customHeight="1" ht="11.25">
      <c r="A467" s="4795" t="s">
        <v>2178</v>
      </c>
      <c r="B467" s="4795" t="s">
        <v>14</v>
      </c>
      <c r="C467" s="4795" t="s">
        <v>3032</v>
      </c>
      <c r="D467" s="4795" t="s">
        <v>3033</v>
      </c>
      <c r="E467" s="4795" t="s">
        <v>3034</v>
      </c>
      <c r="F467" s="4795" t="s">
        <v>2210</v>
      </c>
      <c r="G467" s="4795" t="s">
        <v>3035</v>
      </c>
      <c r="H467" s="4795" t="s">
        <v>18</v>
      </c>
      <c r="I467" s="4795" t="s">
        <v>1018</v>
      </c>
    </row>
    <row customHeight="1" ht="11.25">
      <c r="A468" s="4795" t="s">
        <v>2178</v>
      </c>
      <c r="B468" s="4795" t="s">
        <v>14</v>
      </c>
      <c r="C468" s="4795" t="s">
        <v>2834</v>
      </c>
      <c r="D468" s="4795" t="s">
        <v>2835</v>
      </c>
      <c r="E468" s="4795" t="s">
        <v>2836</v>
      </c>
      <c r="F468" s="4795" t="s">
        <v>2359</v>
      </c>
      <c r="G468" s="4795" t="s">
        <v>18</v>
      </c>
      <c r="H468" s="4795" t="s">
        <v>18</v>
      </c>
      <c r="I468" s="4795" t="s">
        <v>1018</v>
      </c>
    </row>
    <row customHeight="1" ht="11.25">
      <c r="A469" s="4795" t="s">
        <v>2178</v>
      </c>
      <c r="B469" s="4795" t="s">
        <v>14</v>
      </c>
      <c r="C469" s="4795" t="s">
        <v>3036</v>
      </c>
      <c r="D469" s="4795" t="s">
        <v>3037</v>
      </c>
      <c r="E469" s="4795" t="s">
        <v>3038</v>
      </c>
      <c r="F469" s="4795" t="s">
        <v>2181</v>
      </c>
      <c r="G469" s="4795" t="s">
        <v>3039</v>
      </c>
      <c r="H469" s="4795" t="s">
        <v>18</v>
      </c>
      <c r="I469" s="4795" t="s">
        <v>1018</v>
      </c>
    </row>
    <row customHeight="1" ht="11.25">
      <c r="A470" s="4795" t="s">
        <v>2178</v>
      </c>
      <c r="B470" s="4795" t="s">
        <v>14</v>
      </c>
      <c r="C470" s="4795" t="s">
        <v>3040</v>
      </c>
      <c r="D470" s="4795" t="s">
        <v>3041</v>
      </c>
      <c r="E470" s="4795" t="s">
        <v>3042</v>
      </c>
      <c r="F470" s="4795" t="s">
        <v>2380</v>
      </c>
      <c r="G470" s="4795" t="s">
        <v>3043</v>
      </c>
      <c r="H470" s="4795" t="s">
        <v>18</v>
      </c>
      <c r="I470" s="4795" t="s">
        <v>1018</v>
      </c>
    </row>
    <row customHeight="1" ht="11.25">
      <c r="A471" s="4795" t="s">
        <v>2178</v>
      </c>
      <c r="B471" s="4795" t="s">
        <v>14</v>
      </c>
      <c r="C471" s="4795" t="s">
        <v>3044</v>
      </c>
      <c r="D471" s="4795" t="s">
        <v>3045</v>
      </c>
      <c r="E471" s="4795" t="s">
        <v>3046</v>
      </c>
      <c r="F471" s="4795" t="s">
        <v>2424</v>
      </c>
      <c r="G471" s="4795" t="s">
        <v>3047</v>
      </c>
      <c r="H471" s="4795" t="s">
        <v>18</v>
      </c>
      <c r="I471" s="4795" t="s">
        <v>1018</v>
      </c>
    </row>
    <row customHeight="1" ht="11.25">
      <c r="A472" s="4795" t="s">
        <v>2178</v>
      </c>
      <c r="B472" s="4795" t="s">
        <v>14</v>
      </c>
      <c r="C472" s="4795" t="s">
        <v>3048</v>
      </c>
      <c r="D472" s="4795" t="s">
        <v>3049</v>
      </c>
      <c r="E472" s="4795" t="s">
        <v>3050</v>
      </c>
      <c r="F472" s="4795" t="s">
        <v>2452</v>
      </c>
      <c r="G472" s="4795" t="s">
        <v>3051</v>
      </c>
      <c r="H472" s="4795" t="s">
        <v>18</v>
      </c>
      <c r="I472" s="4795" t="s">
        <v>1018</v>
      </c>
    </row>
    <row customHeight="1" ht="11.25">
      <c r="A473" s="4795" t="s">
        <v>2178</v>
      </c>
      <c r="B473" s="4795" t="s">
        <v>14</v>
      </c>
      <c r="C473" s="4795" t="s">
        <v>3052</v>
      </c>
      <c r="D473" s="4795" t="s">
        <v>3053</v>
      </c>
      <c r="E473" s="4795" t="s">
        <v>3054</v>
      </c>
      <c r="F473" s="4795" t="s">
        <v>2312</v>
      </c>
      <c r="G473" s="4795" t="s">
        <v>3055</v>
      </c>
      <c r="H473" s="4795" t="s">
        <v>18</v>
      </c>
      <c r="I473" s="4795" t="s">
        <v>1018</v>
      </c>
    </row>
    <row customHeight="1" ht="11.25">
      <c r="A474" s="4795" t="s">
        <v>2178</v>
      </c>
      <c r="B474" s="4795" t="s">
        <v>14</v>
      </c>
      <c r="C474" s="4795" t="s">
        <v>3056</v>
      </c>
      <c r="D474" s="4795" t="s">
        <v>3057</v>
      </c>
      <c r="E474" s="4795" t="s">
        <v>3058</v>
      </c>
      <c r="F474" s="4795" t="s">
        <v>2373</v>
      </c>
      <c r="G474" s="4795" t="s">
        <v>3059</v>
      </c>
      <c r="H474" s="4795" t="s">
        <v>18</v>
      </c>
      <c r="I474" s="4795" t="s">
        <v>1018</v>
      </c>
    </row>
    <row customHeight="1" ht="11.25">
      <c r="A475" s="4795" t="s">
        <v>2178</v>
      </c>
      <c r="B475" s="4795" t="s">
        <v>14</v>
      </c>
      <c r="C475" s="4795" t="s">
        <v>3060</v>
      </c>
      <c r="D475" s="4795" t="s">
        <v>3061</v>
      </c>
      <c r="E475" s="4795" t="s">
        <v>3062</v>
      </c>
      <c r="F475" s="4795" t="s">
        <v>2229</v>
      </c>
      <c r="G475" s="4795" t="s">
        <v>3063</v>
      </c>
      <c r="H475" s="4795" t="s">
        <v>18</v>
      </c>
      <c r="I475" s="4795" t="s">
        <v>1018</v>
      </c>
    </row>
    <row customHeight="1" ht="11.25">
      <c r="A476" s="4795" t="s">
        <v>2178</v>
      </c>
      <c r="B476" s="4795" t="s">
        <v>14</v>
      </c>
      <c r="C476" s="4795" t="s">
        <v>3064</v>
      </c>
      <c r="D476" s="4795" t="s">
        <v>3065</v>
      </c>
      <c r="E476" s="4795" t="s">
        <v>3066</v>
      </c>
      <c r="F476" s="4795" t="s">
        <v>2452</v>
      </c>
      <c r="G476" s="4795" t="s">
        <v>18</v>
      </c>
      <c r="H476" s="4795" t="s">
        <v>18</v>
      </c>
      <c r="I476" s="4795" t="s">
        <v>1018</v>
      </c>
    </row>
    <row customHeight="1" ht="11.25">
      <c r="A477" s="4795" t="s">
        <v>2178</v>
      </c>
      <c r="B477" s="4795" t="s">
        <v>14</v>
      </c>
      <c r="C477" s="4795" t="s">
        <v>3067</v>
      </c>
      <c r="D477" s="4795" t="s">
        <v>3068</v>
      </c>
      <c r="E477" s="4795" t="s">
        <v>3069</v>
      </c>
      <c r="F477" s="4795" t="s">
        <v>2373</v>
      </c>
      <c r="G477" s="4795" t="s">
        <v>3070</v>
      </c>
      <c r="H477" s="4795" t="s">
        <v>18</v>
      </c>
      <c r="I477" s="4795" t="s">
        <v>1018</v>
      </c>
    </row>
    <row customHeight="1" ht="11.25">
      <c r="A478" s="4795" t="s">
        <v>2178</v>
      </c>
      <c r="B478" s="4795" t="s">
        <v>14</v>
      </c>
      <c r="C478" s="4795" t="s">
        <v>3071</v>
      </c>
      <c r="D478" s="4795" t="s">
        <v>3072</v>
      </c>
      <c r="E478" s="4795" t="s">
        <v>3073</v>
      </c>
      <c r="F478" s="4795" t="s">
        <v>51</v>
      </c>
      <c r="G478" s="4795" t="s">
        <v>3074</v>
      </c>
      <c r="H478" s="4795" t="s">
        <v>18</v>
      </c>
      <c r="I478" s="4795" t="s">
        <v>1018</v>
      </c>
    </row>
    <row customHeight="1" ht="11.25">
      <c r="A479" s="4795" t="s">
        <v>2178</v>
      </c>
      <c r="B479" s="4795" t="s">
        <v>14</v>
      </c>
      <c r="C479" s="4795" t="s">
        <v>3075</v>
      </c>
      <c r="D479" s="4795" t="s">
        <v>3076</v>
      </c>
      <c r="E479" s="4795" t="s">
        <v>3077</v>
      </c>
      <c r="F479" s="4795" t="s">
        <v>2185</v>
      </c>
      <c r="G479" s="4795" t="s">
        <v>3078</v>
      </c>
      <c r="H479" s="4795" t="s">
        <v>18</v>
      </c>
      <c r="I479" s="4795" t="s">
        <v>1018</v>
      </c>
    </row>
    <row customHeight="1" ht="11.25">
      <c r="A480" s="4795" t="s">
        <v>2178</v>
      </c>
      <c r="B480" s="4795" t="s">
        <v>14</v>
      </c>
      <c r="C480" s="4795" t="s">
        <v>3079</v>
      </c>
      <c r="D480" s="4795" t="s">
        <v>3080</v>
      </c>
      <c r="E480" s="4795" t="s">
        <v>3081</v>
      </c>
      <c r="F480" s="4795" t="s">
        <v>2185</v>
      </c>
      <c r="G480" s="4795" t="s">
        <v>3082</v>
      </c>
      <c r="H480" s="4795" t="s">
        <v>18</v>
      </c>
      <c r="I480" s="4795" t="s">
        <v>1018</v>
      </c>
    </row>
    <row customHeight="1" ht="11.25">
      <c r="A481" s="4795" t="s">
        <v>2178</v>
      </c>
      <c r="B481" s="4795" t="s">
        <v>14</v>
      </c>
      <c r="C481" s="4795" t="s">
        <v>3083</v>
      </c>
      <c r="D481" s="4795" t="s">
        <v>3084</v>
      </c>
      <c r="E481" s="4795" t="s">
        <v>3085</v>
      </c>
      <c r="F481" s="4795" t="s">
        <v>2304</v>
      </c>
      <c r="G481" s="4795" t="s">
        <v>3086</v>
      </c>
      <c r="H481" s="4795" t="s">
        <v>18</v>
      </c>
      <c r="I481" s="4795" t="s">
        <v>1018</v>
      </c>
    </row>
    <row customHeight="1" ht="11.25">
      <c r="A482" s="4795" t="s">
        <v>2178</v>
      </c>
      <c r="B482" s="4795" t="s">
        <v>14</v>
      </c>
      <c r="C482" s="4795" t="s">
        <v>3087</v>
      </c>
      <c r="D482" s="4795" t="s">
        <v>3088</v>
      </c>
      <c r="E482" s="4795" t="s">
        <v>3089</v>
      </c>
      <c r="F482" s="4795" t="s">
        <v>2882</v>
      </c>
      <c r="G482" s="4795" t="s">
        <v>3090</v>
      </c>
      <c r="H482" s="4795" t="s">
        <v>18</v>
      </c>
      <c r="I482" s="4795" t="s">
        <v>1018</v>
      </c>
    </row>
    <row customHeight="1" ht="11.25">
      <c r="A483" s="4795" t="s">
        <v>2178</v>
      </c>
      <c r="B483" s="4795" t="s">
        <v>14</v>
      </c>
      <c r="C483" s="4795" t="s">
        <v>3091</v>
      </c>
      <c r="D483" s="4795" t="s">
        <v>3092</v>
      </c>
      <c r="E483" s="4795" t="s">
        <v>3093</v>
      </c>
      <c r="F483" s="4795" t="s">
        <v>2238</v>
      </c>
      <c r="G483" s="4795" t="s">
        <v>18</v>
      </c>
      <c r="H483" s="4795" t="s">
        <v>18</v>
      </c>
      <c r="I483" s="4795" t="s">
        <v>1018</v>
      </c>
    </row>
    <row customHeight="1" ht="11.25">
      <c r="A484" s="4795" t="s">
        <v>2178</v>
      </c>
      <c r="B484" s="4795" t="s">
        <v>14</v>
      </c>
      <c r="C484" s="4795" t="s">
        <v>3094</v>
      </c>
      <c r="D484" s="4795" t="s">
        <v>3095</v>
      </c>
      <c r="E484" s="4795" t="s">
        <v>3096</v>
      </c>
      <c r="F484" s="4795" t="s">
        <v>2351</v>
      </c>
      <c r="G484" s="4795" t="s">
        <v>18</v>
      </c>
      <c r="H484" s="4795" t="s">
        <v>18</v>
      </c>
      <c r="I484" s="4795" t="s">
        <v>1018</v>
      </c>
    </row>
    <row customHeight="1" ht="11.25">
      <c r="A485" s="4795" t="s">
        <v>2178</v>
      </c>
      <c r="B485" s="4795" t="s">
        <v>14</v>
      </c>
      <c r="C485" s="4795" t="s">
        <v>3097</v>
      </c>
      <c r="D485" s="4795" t="s">
        <v>3098</v>
      </c>
      <c r="E485" s="4795" t="s">
        <v>3099</v>
      </c>
      <c r="F485" s="4795" t="s">
        <v>2185</v>
      </c>
      <c r="G485" s="4795" t="s">
        <v>18</v>
      </c>
      <c r="H485" s="4795" t="s">
        <v>18</v>
      </c>
      <c r="I485" s="4795" t="s">
        <v>1018</v>
      </c>
    </row>
    <row customHeight="1" ht="11.25">
      <c r="A486" s="4795" t="s">
        <v>2178</v>
      </c>
      <c r="B486" s="4795" t="s">
        <v>14</v>
      </c>
      <c r="C486" s="4795" t="s">
        <v>3100</v>
      </c>
      <c r="D486" s="4795" t="s">
        <v>3101</v>
      </c>
      <c r="E486" s="4795" t="s">
        <v>3102</v>
      </c>
      <c r="F486" s="4795" t="s">
        <v>2576</v>
      </c>
      <c r="G486" s="4795" t="s">
        <v>18</v>
      </c>
      <c r="H486" s="4795" t="s">
        <v>18</v>
      </c>
      <c r="I486" s="4795" t="s">
        <v>1018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1BBB86-9E56-E7AA-4DB9-71089168D1FA}" mc:Ignorable="x14ac xr xr2 xr3">
  <sheetPr>
    <tabColor rgb="FFFFCC99"/>
  </sheetPr>
  <dimension ref="A1:G107"/>
  <sheetViews>
    <sheetView topLeftCell="A1" showGridLines="0" workbookViewId="0">
      <selection activeCell="A1" sqref="A1"/>
    </sheetView>
  </sheetViews>
  <sheetFormatPr customHeight="1" defaultRowHeight="11.25"/>
  <cols>
    <col min="1" max="1" style="4017" width="9.140625"/>
  </cols>
  <sheetData>
    <row customHeight="1" ht="11.25">
      <c r="A1" s="373" t="s">
        <v>3103</v>
      </c>
      <c r="B1" s="48" t="s">
        <v>3104</v>
      </c>
      <c r="C1" s="48" t="s">
        <v>3105</v>
      </c>
      <c r="D1" s="48" t="s">
        <v>3106</v>
      </c>
      <c r="E1" s="0" t="s">
        <v>3107</v>
      </c>
      <c r="F1" s="0" t="s">
        <v>3108</v>
      </c>
      <c r="G1" s="0" t="s">
        <v>3109</v>
      </c>
    </row>
    <row customHeight="1" ht="11.25">
      <c r="A2" s="373" t="s">
        <v>14</v>
      </c>
      <c r="B2" s="0" t="s">
        <v>3110</v>
      </c>
      <c r="C2" s="0" t="s">
        <v>3111</v>
      </c>
      <c r="D2" s="0" t="s">
        <v>3110</v>
      </c>
      <c r="E2" s="0" t="s">
        <v>3111</v>
      </c>
      <c r="F2" s="0" t="s">
        <v>3112</v>
      </c>
      <c r="G2" s="0" t="s">
        <v>109</v>
      </c>
    </row>
    <row customHeight="1" ht="11.25">
      <c r="A3" s="373" t="s">
        <v>14</v>
      </c>
      <c r="B3" s="0" t="s">
        <v>3113</v>
      </c>
      <c r="C3" s="0" t="s">
        <v>3114</v>
      </c>
      <c r="D3" s="0" t="s">
        <v>3113</v>
      </c>
      <c r="E3" s="0" t="s">
        <v>3114</v>
      </c>
      <c r="F3" s="0" t="s">
        <v>3115</v>
      </c>
      <c r="G3" s="0" t="s">
        <v>110</v>
      </c>
    </row>
    <row customHeight="1" ht="11.25">
      <c r="A4" s="373" t="s">
        <v>14</v>
      </c>
      <c r="B4" s="0" t="s">
        <v>3116</v>
      </c>
      <c r="C4" s="0" t="s">
        <v>3117</v>
      </c>
      <c r="D4" s="0" t="s">
        <v>3116</v>
      </c>
      <c r="E4" s="0" t="s">
        <v>3117</v>
      </c>
      <c r="F4" s="0" t="s">
        <v>3115</v>
      </c>
      <c r="G4" s="0" t="s">
        <v>90</v>
      </c>
    </row>
    <row customHeight="1" ht="11.25">
      <c r="A5" s="373" t="s">
        <v>14</v>
      </c>
      <c r="B5" s="0" t="s">
        <v>3118</v>
      </c>
      <c r="C5" s="0" t="s">
        <v>3119</v>
      </c>
      <c r="D5" s="0" t="s">
        <v>3118</v>
      </c>
      <c r="E5" s="0" t="s">
        <v>3119</v>
      </c>
      <c r="F5" s="0" t="s">
        <v>3115</v>
      </c>
      <c r="G5" s="0" t="s">
        <v>91</v>
      </c>
    </row>
    <row customHeight="1" ht="11.25">
      <c r="A6" s="373" t="s">
        <v>14</v>
      </c>
      <c r="B6" s="0" t="s">
        <v>3120</v>
      </c>
      <c r="C6" s="0" t="s">
        <v>3121</v>
      </c>
      <c r="D6" s="0" t="s">
        <v>3120</v>
      </c>
      <c r="E6" s="0" t="s">
        <v>3121</v>
      </c>
      <c r="F6" s="0" t="s">
        <v>3115</v>
      </c>
      <c r="G6" s="0" t="s">
        <v>111</v>
      </c>
    </row>
    <row customHeight="1" ht="11.25">
      <c r="A7" s="373" t="s">
        <v>14</v>
      </c>
      <c r="B7" s="0" t="s">
        <v>3122</v>
      </c>
      <c r="C7" s="0" t="s">
        <v>3123</v>
      </c>
      <c r="D7" s="0" t="s">
        <v>3122</v>
      </c>
      <c r="E7" s="0" t="s">
        <v>3123</v>
      </c>
      <c r="F7" s="0" t="s">
        <v>3115</v>
      </c>
      <c r="G7" s="0" t="s">
        <v>92</v>
      </c>
    </row>
    <row customHeight="1" ht="11.25">
      <c r="A8" s="373" t="s">
        <v>14</v>
      </c>
      <c r="B8" s="0" t="s">
        <v>3124</v>
      </c>
      <c r="C8" s="0" t="s">
        <v>3125</v>
      </c>
      <c r="D8" s="0" t="s">
        <v>3124</v>
      </c>
      <c r="E8" s="0" t="s">
        <v>3125</v>
      </c>
      <c r="F8" s="0" t="s">
        <v>3115</v>
      </c>
      <c r="G8" s="0" t="s">
        <v>93</v>
      </c>
    </row>
    <row customHeight="1" ht="11.25">
      <c r="A9" s="373" t="s">
        <v>14</v>
      </c>
      <c r="B9" s="0" t="s">
        <v>3126</v>
      </c>
      <c r="C9" s="0" t="s">
        <v>3127</v>
      </c>
      <c r="D9" s="0" t="s">
        <v>3128</v>
      </c>
      <c r="E9" s="0" t="s">
        <v>3129</v>
      </c>
      <c r="F9" s="0" t="s">
        <v>3130</v>
      </c>
      <c r="G9" s="0" t="s">
        <v>112</v>
      </c>
    </row>
    <row customHeight="1" ht="11.25">
      <c r="A10" s="373" t="s">
        <v>14</v>
      </c>
      <c r="B10" s="0" t="s">
        <v>3126</v>
      </c>
      <c r="C10" s="0" t="s">
        <v>3127</v>
      </c>
      <c r="D10" s="0" t="s">
        <v>3126</v>
      </c>
      <c r="E10" s="0" t="s">
        <v>3127</v>
      </c>
      <c r="F10" s="0" t="s">
        <v>3131</v>
      </c>
      <c r="G10" s="0" t="s">
        <v>155</v>
      </c>
    </row>
    <row customHeight="1" ht="11.25">
      <c r="A11" s="373" t="s">
        <v>14</v>
      </c>
      <c r="B11" s="0" t="s">
        <v>3126</v>
      </c>
      <c r="C11" s="0" t="s">
        <v>3127</v>
      </c>
      <c r="D11" s="0" t="s">
        <v>3132</v>
      </c>
      <c r="E11" s="0" t="s">
        <v>3133</v>
      </c>
      <c r="F11" s="0" t="s">
        <v>3130</v>
      </c>
      <c r="G11" s="0" t="s">
        <v>156</v>
      </c>
    </row>
    <row customHeight="1" ht="11.25">
      <c r="A12" s="373" t="s">
        <v>14</v>
      </c>
      <c r="B12" s="0" t="s">
        <v>3126</v>
      </c>
      <c r="C12" s="0" t="s">
        <v>3127</v>
      </c>
      <c r="D12" s="0" t="s">
        <v>3134</v>
      </c>
      <c r="E12" s="0" t="s">
        <v>3135</v>
      </c>
      <c r="F12" s="0" t="s">
        <v>3136</v>
      </c>
      <c r="G12" s="0" t="s">
        <v>157</v>
      </c>
    </row>
    <row customHeight="1" ht="11.25">
      <c r="A13" s="373" t="s">
        <v>14</v>
      </c>
      <c r="B13" s="0" t="s">
        <v>3126</v>
      </c>
      <c r="C13" s="0" t="s">
        <v>3127</v>
      </c>
      <c r="D13" s="0" t="s">
        <v>3137</v>
      </c>
      <c r="E13" s="0" t="s">
        <v>3138</v>
      </c>
      <c r="F13" s="0" t="s">
        <v>3130</v>
      </c>
      <c r="G13" s="0" t="s">
        <v>158</v>
      </c>
    </row>
    <row customHeight="1" ht="11.25">
      <c r="A14" s="373" t="s">
        <v>14</v>
      </c>
      <c r="B14" s="0" t="s">
        <v>3126</v>
      </c>
      <c r="C14" s="0" t="s">
        <v>3127</v>
      </c>
      <c r="D14" s="0" t="s">
        <v>3139</v>
      </c>
      <c r="E14" s="0" t="s">
        <v>3140</v>
      </c>
      <c r="F14" s="0" t="s">
        <v>3130</v>
      </c>
      <c r="G14" s="0" t="s">
        <v>159</v>
      </c>
    </row>
    <row customHeight="1" ht="11.25">
      <c r="A15" s="373" t="s">
        <v>14</v>
      </c>
      <c r="B15" s="0" t="s">
        <v>3126</v>
      </c>
      <c r="C15" s="0" t="s">
        <v>3127</v>
      </c>
      <c r="D15" s="0" t="s">
        <v>3141</v>
      </c>
      <c r="E15" s="0" t="s">
        <v>3142</v>
      </c>
      <c r="F15" s="0" t="s">
        <v>3130</v>
      </c>
      <c r="G15" s="0" t="s">
        <v>160</v>
      </c>
    </row>
    <row customHeight="1" ht="11.25">
      <c r="A16" s="373" t="s">
        <v>14</v>
      </c>
      <c r="B16" s="0" t="s">
        <v>3126</v>
      </c>
      <c r="C16" s="0" t="s">
        <v>3127</v>
      </c>
      <c r="D16" s="0" t="s">
        <v>3143</v>
      </c>
      <c r="E16" s="0" t="s">
        <v>3144</v>
      </c>
      <c r="F16" s="0" t="s">
        <v>3130</v>
      </c>
      <c r="G16" s="0" t="s">
        <v>858</v>
      </c>
    </row>
    <row customHeight="1" ht="11.25">
      <c r="A17" s="373" t="s">
        <v>14</v>
      </c>
      <c r="B17" s="0" t="s">
        <v>3145</v>
      </c>
      <c r="C17" s="0" t="s">
        <v>3146</v>
      </c>
      <c r="D17" s="0" t="s">
        <v>3145</v>
      </c>
      <c r="E17" s="0" t="s">
        <v>3146</v>
      </c>
      <c r="F17" s="0" t="s">
        <v>3112</v>
      </c>
      <c r="G17" s="0" t="s">
        <v>864</v>
      </c>
    </row>
    <row customHeight="1" ht="11.25">
      <c r="A18" s="373" t="s">
        <v>14</v>
      </c>
      <c r="B18" s="0" t="s">
        <v>3147</v>
      </c>
      <c r="C18" s="0" t="s">
        <v>3148</v>
      </c>
      <c r="D18" s="0" t="s">
        <v>3149</v>
      </c>
      <c r="E18" s="0" t="s">
        <v>3150</v>
      </c>
      <c r="F18" s="0" t="s">
        <v>3130</v>
      </c>
      <c r="G18" s="0" t="s">
        <v>875</v>
      </c>
    </row>
    <row customHeight="1" ht="11.25">
      <c r="A19" s="373" t="s">
        <v>14</v>
      </c>
      <c r="B19" s="0" t="s">
        <v>3147</v>
      </c>
      <c r="C19" s="0" t="s">
        <v>3148</v>
      </c>
      <c r="D19" s="0" t="s">
        <v>3151</v>
      </c>
      <c r="E19" s="0" t="s">
        <v>3152</v>
      </c>
      <c r="F19" s="0" t="s">
        <v>3153</v>
      </c>
      <c r="G19" s="0" t="s">
        <v>889</v>
      </c>
    </row>
    <row customHeight="1" ht="11.25">
      <c r="A20" s="373" t="s">
        <v>14</v>
      </c>
      <c r="B20" s="0" t="s">
        <v>3147</v>
      </c>
      <c r="C20" s="0" t="s">
        <v>3148</v>
      </c>
      <c r="D20" s="0" t="s">
        <v>3147</v>
      </c>
      <c r="E20" s="0" t="s">
        <v>3148</v>
      </c>
      <c r="F20" s="0" t="s">
        <v>3131</v>
      </c>
      <c r="G20" s="0" t="s">
        <v>901</v>
      </c>
    </row>
    <row customHeight="1" ht="11.25">
      <c r="A21" s="373" t="s">
        <v>14</v>
      </c>
      <c r="B21" s="0" t="s">
        <v>3147</v>
      </c>
      <c r="C21" s="0" t="s">
        <v>3148</v>
      </c>
      <c r="D21" s="0" t="s">
        <v>3154</v>
      </c>
      <c r="E21" s="0" t="s">
        <v>3155</v>
      </c>
      <c r="F21" s="0" t="s">
        <v>3153</v>
      </c>
      <c r="G21" s="0" t="s">
        <v>910</v>
      </c>
    </row>
    <row customHeight="1" ht="11.25">
      <c r="A22" s="373" t="s">
        <v>14</v>
      </c>
      <c r="B22" s="0" t="s">
        <v>3147</v>
      </c>
      <c r="C22" s="0" t="s">
        <v>3148</v>
      </c>
      <c r="D22" s="0" t="s">
        <v>3156</v>
      </c>
      <c r="E22" s="0" t="s">
        <v>3157</v>
      </c>
      <c r="F22" s="0" t="s">
        <v>3130</v>
      </c>
      <c r="G22" s="0" t="s">
        <v>926</v>
      </c>
    </row>
    <row customHeight="1" ht="11.25">
      <c r="A23" s="373" t="s">
        <v>14</v>
      </c>
      <c r="B23" s="0" t="s">
        <v>3147</v>
      </c>
      <c r="C23" s="0" t="s">
        <v>3148</v>
      </c>
      <c r="D23" s="0" t="s">
        <v>3158</v>
      </c>
      <c r="E23" s="0" t="s">
        <v>3159</v>
      </c>
      <c r="F23" s="0" t="s">
        <v>3136</v>
      </c>
      <c r="G23" s="0" t="s">
        <v>933</v>
      </c>
    </row>
    <row customHeight="1" ht="11.25">
      <c r="A24" s="373" t="s">
        <v>14</v>
      </c>
      <c r="B24" s="0" t="s">
        <v>3147</v>
      </c>
      <c r="C24" s="0" t="s">
        <v>3148</v>
      </c>
      <c r="D24" s="0" t="s">
        <v>3160</v>
      </c>
      <c r="E24" s="0" t="s">
        <v>3161</v>
      </c>
      <c r="F24" s="0" t="s">
        <v>3130</v>
      </c>
      <c r="G24" s="0" t="s">
        <v>941</v>
      </c>
    </row>
    <row customHeight="1" ht="11.25">
      <c r="A25" s="373" t="s">
        <v>14</v>
      </c>
      <c r="B25" s="0" t="s">
        <v>3147</v>
      </c>
      <c r="C25" s="0" t="s">
        <v>3148</v>
      </c>
      <c r="D25" s="0" t="s">
        <v>3162</v>
      </c>
      <c r="E25" s="0" t="s">
        <v>3163</v>
      </c>
      <c r="F25" s="0" t="s">
        <v>3130</v>
      </c>
      <c r="G25" s="0" t="s">
        <v>948</v>
      </c>
    </row>
    <row customHeight="1" ht="11.25">
      <c r="A26" s="373" t="s">
        <v>14</v>
      </c>
      <c r="B26" s="0" t="s">
        <v>3164</v>
      </c>
      <c r="C26" s="0" t="s">
        <v>3165</v>
      </c>
      <c r="D26" s="0" t="s">
        <v>3164</v>
      </c>
      <c r="E26" s="0" t="s">
        <v>3165</v>
      </c>
      <c r="F26" s="0" t="s">
        <v>3112</v>
      </c>
      <c r="G26" s="0" t="s">
        <v>952</v>
      </c>
    </row>
    <row customHeight="1" ht="11.25">
      <c r="A27" s="373" t="s">
        <v>14</v>
      </c>
      <c r="B27" s="0" t="s">
        <v>3166</v>
      </c>
      <c r="C27" s="0" t="s">
        <v>3167</v>
      </c>
      <c r="D27" s="0" t="s">
        <v>3168</v>
      </c>
      <c r="E27" s="0" t="s">
        <v>3169</v>
      </c>
      <c r="F27" s="0" t="s">
        <v>3153</v>
      </c>
      <c r="G27" s="0" t="s">
        <v>957</v>
      </c>
    </row>
    <row customHeight="1" ht="11.25">
      <c r="A28" s="373" t="s">
        <v>14</v>
      </c>
      <c r="B28" s="0" t="s">
        <v>3166</v>
      </c>
      <c r="C28" s="0" t="s">
        <v>3167</v>
      </c>
      <c r="D28" s="0" t="s">
        <v>3170</v>
      </c>
      <c r="E28" s="0" t="s">
        <v>3171</v>
      </c>
      <c r="F28" s="0" t="s">
        <v>3130</v>
      </c>
      <c r="G28" s="0" t="s">
        <v>965</v>
      </c>
    </row>
    <row customHeight="1" ht="11.25">
      <c r="A29" s="373" t="s">
        <v>14</v>
      </c>
      <c r="B29" s="0" t="s">
        <v>3166</v>
      </c>
      <c r="C29" s="0" t="s">
        <v>3167</v>
      </c>
      <c r="D29" s="0" t="s">
        <v>3172</v>
      </c>
      <c r="E29" s="0" t="s">
        <v>3173</v>
      </c>
      <c r="F29" s="0" t="s">
        <v>3130</v>
      </c>
      <c r="G29" s="0" t="s">
        <v>967</v>
      </c>
    </row>
    <row customHeight="1" ht="11.25">
      <c r="A30" s="373" t="s">
        <v>14</v>
      </c>
      <c r="B30" s="0" t="s">
        <v>3166</v>
      </c>
      <c r="C30" s="0" t="s">
        <v>3167</v>
      </c>
      <c r="D30" s="0" t="s">
        <v>3174</v>
      </c>
      <c r="E30" s="0" t="s">
        <v>3175</v>
      </c>
      <c r="F30" s="0" t="s">
        <v>3130</v>
      </c>
      <c r="G30" s="0" t="s">
        <v>970</v>
      </c>
    </row>
    <row customHeight="1" ht="11.25">
      <c r="A31" s="373" t="s">
        <v>14</v>
      </c>
      <c r="B31" s="0" t="s">
        <v>3166</v>
      </c>
      <c r="C31" s="0" t="s">
        <v>3167</v>
      </c>
      <c r="D31" s="0" t="s">
        <v>3176</v>
      </c>
      <c r="E31" s="0" t="s">
        <v>3177</v>
      </c>
      <c r="F31" s="0" t="s">
        <v>3130</v>
      </c>
      <c r="G31" s="0" t="s">
        <v>976</v>
      </c>
    </row>
    <row customHeight="1" ht="11.25">
      <c r="A32" s="373" t="s">
        <v>14</v>
      </c>
      <c r="B32" s="0" t="s">
        <v>3166</v>
      </c>
      <c r="C32" s="0" t="s">
        <v>3167</v>
      </c>
      <c r="D32" s="0" t="s">
        <v>3166</v>
      </c>
      <c r="E32" s="0" t="s">
        <v>3167</v>
      </c>
      <c r="F32" s="0" t="s">
        <v>3131</v>
      </c>
      <c r="G32" s="0" t="s">
        <v>978</v>
      </c>
    </row>
    <row customHeight="1" ht="11.25">
      <c r="A33" s="373" t="s">
        <v>14</v>
      </c>
      <c r="B33" s="0" t="s">
        <v>3166</v>
      </c>
      <c r="C33" s="0" t="s">
        <v>3167</v>
      </c>
      <c r="D33" s="0" t="s">
        <v>3178</v>
      </c>
      <c r="E33" s="0" t="s">
        <v>3179</v>
      </c>
      <c r="F33" s="0" t="s">
        <v>3130</v>
      </c>
      <c r="G33" s="0" t="s">
        <v>980</v>
      </c>
    </row>
    <row customHeight="1" ht="11.25">
      <c r="A34" s="373" t="s">
        <v>14</v>
      </c>
      <c r="B34" s="0" t="s">
        <v>3166</v>
      </c>
      <c r="C34" s="0" t="s">
        <v>3167</v>
      </c>
      <c r="D34" s="0" t="s">
        <v>3180</v>
      </c>
      <c r="E34" s="0" t="s">
        <v>3181</v>
      </c>
      <c r="F34" s="0" t="s">
        <v>3130</v>
      </c>
      <c r="G34" s="0" t="s">
        <v>982</v>
      </c>
    </row>
    <row customHeight="1" ht="11.25">
      <c r="A35" s="373" t="s">
        <v>14</v>
      </c>
      <c r="B35" s="0" t="s">
        <v>3166</v>
      </c>
      <c r="C35" s="0" t="s">
        <v>3167</v>
      </c>
      <c r="D35" s="0" t="s">
        <v>3182</v>
      </c>
      <c r="E35" s="0" t="s">
        <v>3183</v>
      </c>
      <c r="F35" s="0" t="s">
        <v>3130</v>
      </c>
      <c r="G35" s="0" t="s">
        <v>987</v>
      </c>
    </row>
    <row customHeight="1" ht="11.25">
      <c r="A36" s="373" t="s">
        <v>14</v>
      </c>
      <c r="B36" s="0" t="s">
        <v>3166</v>
      </c>
      <c r="C36" s="0" t="s">
        <v>3167</v>
      </c>
      <c r="D36" s="0" t="s">
        <v>3184</v>
      </c>
      <c r="E36" s="0" t="s">
        <v>3185</v>
      </c>
      <c r="F36" s="0" t="s">
        <v>3130</v>
      </c>
      <c r="G36" s="0" t="s">
        <v>992</v>
      </c>
    </row>
    <row customHeight="1" ht="11.25">
      <c r="A37" s="373" t="s">
        <v>14</v>
      </c>
      <c r="B37" s="0" t="s">
        <v>3166</v>
      </c>
      <c r="C37" s="0" t="s">
        <v>3167</v>
      </c>
      <c r="D37" s="0" t="s">
        <v>3186</v>
      </c>
      <c r="E37" s="0" t="s">
        <v>3187</v>
      </c>
      <c r="F37" s="0" t="s">
        <v>3130</v>
      </c>
      <c r="G37" s="0" t="s">
        <v>997</v>
      </c>
    </row>
    <row customHeight="1" ht="11.25">
      <c r="A38" s="373" t="s">
        <v>14</v>
      </c>
      <c r="B38" s="0" t="s">
        <v>3188</v>
      </c>
      <c r="C38" s="0" t="s">
        <v>3189</v>
      </c>
      <c r="D38" s="0" t="s">
        <v>3188</v>
      </c>
      <c r="E38" s="0" t="s">
        <v>3189</v>
      </c>
      <c r="F38" s="0" t="s">
        <v>3112</v>
      </c>
      <c r="G38" s="0" t="s">
        <v>1005</v>
      </c>
    </row>
    <row customHeight="1" ht="11.25">
      <c r="A39" s="373" t="s">
        <v>14</v>
      </c>
      <c r="B39" s="0" t="s">
        <v>3190</v>
      </c>
      <c r="C39" s="0" t="s">
        <v>3191</v>
      </c>
      <c r="D39" s="0" t="s">
        <v>3190</v>
      </c>
      <c r="E39" s="0" t="s">
        <v>3191</v>
      </c>
      <c r="F39" s="0" t="s">
        <v>3115</v>
      </c>
      <c r="G39" s="0" t="s">
        <v>1012</v>
      </c>
    </row>
    <row customHeight="1" ht="11.25">
      <c r="A40" s="373" t="s">
        <v>14</v>
      </c>
      <c r="B40" s="0" t="s">
        <v>3192</v>
      </c>
      <c r="C40" s="0" t="s">
        <v>3193</v>
      </c>
      <c r="D40" s="0" t="s">
        <v>3194</v>
      </c>
      <c r="E40" s="0" t="s">
        <v>3195</v>
      </c>
      <c r="F40" s="0" t="s">
        <v>3130</v>
      </c>
      <c r="G40" s="0" t="s">
        <v>1019</v>
      </c>
    </row>
    <row customHeight="1" ht="11.25">
      <c r="A41" s="373" t="s">
        <v>14</v>
      </c>
      <c r="B41" s="0" t="s">
        <v>3192</v>
      </c>
      <c r="C41" s="0" t="s">
        <v>3193</v>
      </c>
      <c r="D41" s="0" t="s">
        <v>3196</v>
      </c>
      <c r="E41" s="0" t="s">
        <v>3197</v>
      </c>
      <c r="F41" s="0" t="s">
        <v>3130</v>
      </c>
      <c r="G41" s="0" t="s">
        <v>1025</v>
      </c>
    </row>
    <row customHeight="1" ht="11.25">
      <c r="A42" s="373" t="s">
        <v>14</v>
      </c>
      <c r="B42" s="0" t="s">
        <v>3192</v>
      </c>
      <c r="C42" s="0" t="s">
        <v>3193</v>
      </c>
      <c r="D42" s="0" t="s">
        <v>3198</v>
      </c>
      <c r="E42" s="0" t="s">
        <v>3199</v>
      </c>
      <c r="F42" s="0" t="s">
        <v>3130</v>
      </c>
      <c r="G42" s="0" t="s">
        <v>1030</v>
      </c>
    </row>
    <row customHeight="1" ht="11.25">
      <c r="A43" s="373" t="s">
        <v>14</v>
      </c>
      <c r="B43" s="0" t="s">
        <v>3192</v>
      </c>
      <c r="C43" s="0" t="s">
        <v>3193</v>
      </c>
      <c r="D43" s="0" t="s">
        <v>3192</v>
      </c>
      <c r="E43" s="0" t="s">
        <v>3193</v>
      </c>
      <c r="F43" s="0" t="s">
        <v>3131</v>
      </c>
      <c r="G43" s="0" t="s">
        <v>1037</v>
      </c>
    </row>
    <row customHeight="1" ht="11.25">
      <c r="A44" s="373" t="s">
        <v>14</v>
      </c>
      <c r="B44" s="0" t="s">
        <v>3192</v>
      </c>
      <c r="C44" s="0" t="s">
        <v>3193</v>
      </c>
      <c r="D44" s="0" t="s">
        <v>3200</v>
      </c>
      <c r="E44" s="0" t="s">
        <v>3201</v>
      </c>
      <c r="F44" s="0" t="s">
        <v>3130</v>
      </c>
      <c r="G44" s="0" t="s">
        <v>1046</v>
      </c>
    </row>
    <row customHeight="1" ht="11.25">
      <c r="A45" s="373" t="s">
        <v>14</v>
      </c>
      <c r="B45" s="0" t="s">
        <v>3192</v>
      </c>
      <c r="C45" s="0" t="s">
        <v>3193</v>
      </c>
      <c r="D45" s="0" t="s">
        <v>3202</v>
      </c>
      <c r="E45" s="0" t="s">
        <v>3203</v>
      </c>
      <c r="F45" s="0" t="s">
        <v>3153</v>
      </c>
      <c r="G45" s="0" t="s">
        <v>1051</v>
      </c>
    </row>
    <row customHeight="1" ht="11.25">
      <c r="A46" s="373" t="s">
        <v>14</v>
      </c>
      <c r="B46" s="0" t="s">
        <v>3192</v>
      </c>
      <c r="C46" s="0" t="s">
        <v>3193</v>
      </c>
      <c r="D46" s="0" t="s">
        <v>3204</v>
      </c>
      <c r="E46" s="0" t="s">
        <v>3205</v>
      </c>
      <c r="F46" s="0" t="s">
        <v>3130</v>
      </c>
      <c r="G46" s="0" t="s">
        <v>1056</v>
      </c>
    </row>
    <row customHeight="1" ht="11.25">
      <c r="A47" s="373" t="s">
        <v>14</v>
      </c>
      <c r="B47" s="0" t="s">
        <v>3192</v>
      </c>
      <c r="C47" s="0" t="s">
        <v>3193</v>
      </c>
      <c r="D47" s="0" t="s">
        <v>3206</v>
      </c>
      <c r="E47" s="0" t="s">
        <v>3207</v>
      </c>
      <c r="F47" s="0" t="s">
        <v>3130</v>
      </c>
      <c r="G47" s="0" t="s">
        <v>1062</v>
      </c>
    </row>
    <row customHeight="1" ht="11.25">
      <c r="A48" s="373" t="s">
        <v>14</v>
      </c>
      <c r="B48" s="0" t="s">
        <v>3208</v>
      </c>
      <c r="C48" s="0" t="s">
        <v>3209</v>
      </c>
      <c r="D48" s="0" t="s">
        <v>3208</v>
      </c>
      <c r="E48" s="0" t="s">
        <v>3209</v>
      </c>
      <c r="F48" s="0" t="s">
        <v>3131</v>
      </c>
      <c r="G48" s="0" t="s">
        <v>1068</v>
      </c>
    </row>
    <row customHeight="1" ht="11.25">
      <c r="A49" s="373" t="s">
        <v>14</v>
      </c>
      <c r="B49" s="0" t="s">
        <v>3208</v>
      </c>
      <c r="C49" s="0" t="s">
        <v>3209</v>
      </c>
      <c r="D49" s="0" t="s">
        <v>3210</v>
      </c>
      <c r="E49" s="0" t="s">
        <v>3211</v>
      </c>
      <c r="F49" s="0" t="s">
        <v>3130</v>
      </c>
      <c r="G49" s="0" t="s">
        <v>1074</v>
      </c>
    </row>
    <row customHeight="1" ht="11.25">
      <c r="A50" s="373" t="s">
        <v>14</v>
      </c>
      <c r="B50" s="0" t="s">
        <v>3208</v>
      </c>
      <c r="C50" s="0" t="s">
        <v>3209</v>
      </c>
      <c r="D50" s="0" t="s">
        <v>3212</v>
      </c>
      <c r="E50" s="0" t="s">
        <v>3213</v>
      </c>
      <c r="F50" s="0" t="s">
        <v>3130</v>
      </c>
      <c r="G50" s="0" t="s">
        <v>1079</v>
      </c>
    </row>
    <row customHeight="1" ht="11.25">
      <c r="A51" s="373" t="s">
        <v>14</v>
      </c>
      <c r="B51" s="0" t="s">
        <v>3208</v>
      </c>
      <c r="C51" s="0" t="s">
        <v>3209</v>
      </c>
      <c r="D51" s="0" t="s">
        <v>3214</v>
      </c>
      <c r="E51" s="0" t="s">
        <v>3215</v>
      </c>
      <c r="F51" s="0" t="s">
        <v>3130</v>
      </c>
      <c r="G51" s="0" t="s">
        <v>1084</v>
      </c>
    </row>
    <row customHeight="1" ht="11.25">
      <c r="A52" s="373" t="s">
        <v>14</v>
      </c>
      <c r="B52" s="0" t="s">
        <v>3216</v>
      </c>
      <c r="C52" s="0" t="s">
        <v>3217</v>
      </c>
      <c r="D52" s="0" t="s">
        <v>3216</v>
      </c>
      <c r="E52" s="0" t="s">
        <v>3217</v>
      </c>
      <c r="F52" s="0" t="s">
        <v>3115</v>
      </c>
      <c r="G52" s="0" t="s">
        <v>1088</v>
      </c>
    </row>
    <row customHeight="1" ht="11.25">
      <c r="A53" s="373" t="s">
        <v>14</v>
      </c>
      <c r="B53" s="0" t="s">
        <v>3218</v>
      </c>
      <c r="C53" s="0" t="s">
        <v>3219</v>
      </c>
      <c r="D53" s="0" t="s">
        <v>3218</v>
      </c>
      <c r="E53" s="0" t="s">
        <v>3219</v>
      </c>
      <c r="F53" s="0" t="s">
        <v>3112</v>
      </c>
      <c r="G53" s="0" t="s">
        <v>1090</v>
      </c>
    </row>
    <row customHeight="1" ht="11.25">
      <c r="A54" s="373" t="s">
        <v>14</v>
      </c>
      <c r="B54" s="0" t="s">
        <v>3220</v>
      </c>
      <c r="C54" s="0" t="s">
        <v>3221</v>
      </c>
      <c r="D54" s="0" t="s">
        <v>3220</v>
      </c>
      <c r="E54" s="0" t="s">
        <v>3221</v>
      </c>
      <c r="F54" s="0" t="s">
        <v>3112</v>
      </c>
      <c r="G54" s="0" t="s">
        <v>1093</v>
      </c>
    </row>
    <row customHeight="1" ht="11.25">
      <c r="A55" s="373" t="s">
        <v>14</v>
      </c>
      <c r="B55" s="0" t="s">
        <v>3222</v>
      </c>
      <c r="C55" s="0" t="s">
        <v>3223</v>
      </c>
      <c r="D55" s="0" t="s">
        <v>3222</v>
      </c>
      <c r="E55" s="0" t="s">
        <v>3223</v>
      </c>
      <c r="F55" s="0" t="s">
        <v>3115</v>
      </c>
      <c r="G55" s="0" t="s">
        <v>1097</v>
      </c>
    </row>
    <row customHeight="1" ht="11.25">
      <c r="A56" s="373" t="s">
        <v>14</v>
      </c>
      <c r="B56" s="0" t="s">
        <v>3224</v>
      </c>
      <c r="C56" s="0" t="s">
        <v>3225</v>
      </c>
      <c r="D56" s="0" t="s">
        <v>3224</v>
      </c>
      <c r="E56" s="0" t="s">
        <v>3225</v>
      </c>
      <c r="F56" s="0" t="s">
        <v>3112</v>
      </c>
      <c r="G56" s="0" t="s">
        <v>1100</v>
      </c>
    </row>
    <row customHeight="1" ht="11.25">
      <c r="A57" s="373" t="s">
        <v>14</v>
      </c>
      <c r="B57" s="0" t="s">
        <v>3226</v>
      </c>
      <c r="C57" s="0" t="s">
        <v>3227</v>
      </c>
      <c r="D57" s="0" t="s">
        <v>3228</v>
      </c>
      <c r="E57" s="0" t="s">
        <v>3229</v>
      </c>
      <c r="F57" s="0" t="s">
        <v>3130</v>
      </c>
      <c r="G57" s="0" t="s">
        <v>1103</v>
      </c>
    </row>
    <row customHeight="1" ht="11.25">
      <c r="A58" s="373" t="s">
        <v>14</v>
      </c>
      <c r="B58" s="0" t="s">
        <v>3226</v>
      </c>
      <c r="C58" s="0" t="s">
        <v>3227</v>
      </c>
      <c r="D58" s="0" t="s">
        <v>3230</v>
      </c>
      <c r="E58" s="0" t="s">
        <v>3231</v>
      </c>
      <c r="F58" s="0" t="s">
        <v>3130</v>
      </c>
      <c r="G58" s="0" t="s">
        <v>1106</v>
      </c>
    </row>
    <row customHeight="1" ht="11.25">
      <c r="A59" s="373" t="s">
        <v>14</v>
      </c>
      <c r="B59" s="0" t="s">
        <v>3226</v>
      </c>
      <c r="C59" s="0" t="s">
        <v>3227</v>
      </c>
      <c r="D59" s="0" t="s">
        <v>3232</v>
      </c>
      <c r="E59" s="0" t="s">
        <v>3233</v>
      </c>
      <c r="F59" s="0" t="s">
        <v>3130</v>
      </c>
      <c r="G59" s="0" t="s">
        <v>1110</v>
      </c>
    </row>
    <row customHeight="1" ht="11.25">
      <c r="A60" s="373" t="s">
        <v>14</v>
      </c>
      <c r="B60" s="0" t="s">
        <v>3226</v>
      </c>
      <c r="C60" s="0" t="s">
        <v>3227</v>
      </c>
      <c r="D60" s="0" t="s">
        <v>3234</v>
      </c>
      <c r="E60" s="0" t="s">
        <v>3235</v>
      </c>
      <c r="F60" s="0" t="s">
        <v>3136</v>
      </c>
      <c r="G60" s="0" t="s">
        <v>1113</v>
      </c>
    </row>
    <row customHeight="1" ht="11.25">
      <c r="A61" s="373" t="s">
        <v>14</v>
      </c>
      <c r="B61" s="0" t="s">
        <v>3226</v>
      </c>
      <c r="C61" s="0" t="s">
        <v>3227</v>
      </c>
      <c r="D61" s="0" t="s">
        <v>3236</v>
      </c>
      <c r="E61" s="0" t="s">
        <v>3237</v>
      </c>
      <c r="F61" s="0" t="s">
        <v>3130</v>
      </c>
      <c r="G61" s="0" t="s">
        <v>3238</v>
      </c>
    </row>
    <row customHeight="1" ht="11.25">
      <c r="A62" s="373" t="s">
        <v>14</v>
      </c>
      <c r="B62" s="0" t="s">
        <v>3226</v>
      </c>
      <c r="C62" s="0" t="s">
        <v>3227</v>
      </c>
      <c r="D62" s="0" t="s">
        <v>3239</v>
      </c>
      <c r="E62" s="0" t="s">
        <v>3240</v>
      </c>
      <c r="F62" s="0" t="s">
        <v>3130</v>
      </c>
      <c r="G62" s="0" t="s">
        <v>3241</v>
      </c>
    </row>
    <row customHeight="1" ht="11.25">
      <c r="A63" s="373" t="s">
        <v>14</v>
      </c>
      <c r="B63" s="0" t="s">
        <v>3226</v>
      </c>
      <c r="C63" s="0" t="s">
        <v>3227</v>
      </c>
      <c r="D63" s="0" t="s">
        <v>3226</v>
      </c>
      <c r="E63" s="0" t="s">
        <v>3227</v>
      </c>
      <c r="F63" s="0" t="s">
        <v>3131</v>
      </c>
      <c r="G63" s="0" t="s">
        <v>3242</v>
      </c>
    </row>
    <row customHeight="1" ht="11.25">
      <c r="A64" s="373" t="s">
        <v>14</v>
      </c>
      <c r="B64" s="0" t="s">
        <v>3226</v>
      </c>
      <c r="C64" s="0" t="s">
        <v>3227</v>
      </c>
      <c r="D64" s="0" t="s">
        <v>3243</v>
      </c>
      <c r="E64" s="0" t="s">
        <v>3244</v>
      </c>
      <c r="F64" s="0" t="s">
        <v>3130</v>
      </c>
      <c r="G64" s="0" t="s">
        <v>3245</v>
      </c>
    </row>
    <row customHeight="1" ht="11.25">
      <c r="A65" s="373" t="s">
        <v>14</v>
      </c>
      <c r="B65" s="0" t="s">
        <v>3246</v>
      </c>
      <c r="C65" s="0" t="s">
        <v>3247</v>
      </c>
      <c r="D65" s="0" t="s">
        <v>3246</v>
      </c>
      <c r="E65" s="0" t="s">
        <v>3247</v>
      </c>
      <c r="F65" s="0" t="s">
        <v>3112</v>
      </c>
      <c r="G65" s="0" t="s">
        <v>3248</v>
      </c>
    </row>
    <row customHeight="1" ht="11.25">
      <c r="A66" s="373" t="s">
        <v>14</v>
      </c>
      <c r="B66" s="0" t="s">
        <v>3249</v>
      </c>
      <c r="C66" s="0" t="s">
        <v>3250</v>
      </c>
      <c r="D66" s="0" t="s">
        <v>3249</v>
      </c>
      <c r="E66" s="0" t="s">
        <v>3250</v>
      </c>
      <c r="F66" s="0" t="s">
        <v>3112</v>
      </c>
      <c r="G66" s="0" t="s">
        <v>3251</v>
      </c>
    </row>
    <row customHeight="1" ht="11.25">
      <c r="A67" s="373" t="s">
        <v>14</v>
      </c>
      <c r="B67" s="0" t="s">
        <v>3252</v>
      </c>
      <c r="C67" s="0" t="s">
        <v>3253</v>
      </c>
      <c r="D67" s="0" t="s">
        <v>3254</v>
      </c>
      <c r="E67" s="0" t="s">
        <v>3255</v>
      </c>
      <c r="F67" s="0" t="s">
        <v>3130</v>
      </c>
      <c r="G67" s="0" t="s">
        <v>1330</v>
      </c>
    </row>
    <row customHeight="1" ht="11.25">
      <c r="A68" s="373" t="s">
        <v>14</v>
      </c>
      <c r="B68" s="0" t="s">
        <v>3252</v>
      </c>
      <c r="C68" s="0" t="s">
        <v>3253</v>
      </c>
      <c r="D68" s="0" t="s">
        <v>3256</v>
      </c>
      <c r="E68" s="0" t="s">
        <v>3257</v>
      </c>
      <c r="F68" s="0" t="s">
        <v>3130</v>
      </c>
      <c r="G68" s="0" t="s">
        <v>3258</v>
      </c>
    </row>
    <row customHeight="1" ht="11.25">
      <c r="A69" s="373" t="s">
        <v>14</v>
      </c>
      <c r="B69" s="0" t="s">
        <v>3252</v>
      </c>
      <c r="C69" s="0" t="s">
        <v>3253</v>
      </c>
      <c r="D69" s="0" t="s">
        <v>3259</v>
      </c>
      <c r="E69" s="0" t="s">
        <v>3260</v>
      </c>
      <c r="F69" s="0" t="s">
        <v>3130</v>
      </c>
      <c r="G69" s="0" t="s">
        <v>1567</v>
      </c>
    </row>
    <row customHeight="1" ht="11.25">
      <c r="A70" s="373" t="s">
        <v>14</v>
      </c>
      <c r="B70" s="0" t="s">
        <v>3252</v>
      </c>
      <c r="C70" s="0" t="s">
        <v>3253</v>
      </c>
      <c r="D70" s="0" t="s">
        <v>3261</v>
      </c>
      <c r="E70" s="0" t="s">
        <v>3262</v>
      </c>
      <c r="F70" s="0" t="s">
        <v>3130</v>
      </c>
      <c r="G70" s="0" t="s">
        <v>3263</v>
      </c>
    </row>
    <row customHeight="1" ht="11.25">
      <c r="A71" s="373" t="s">
        <v>14</v>
      </c>
      <c r="B71" s="0" t="s">
        <v>3252</v>
      </c>
      <c r="C71" s="0" t="s">
        <v>3253</v>
      </c>
      <c r="D71" s="0" t="s">
        <v>3264</v>
      </c>
      <c r="E71" s="0" t="s">
        <v>3265</v>
      </c>
      <c r="F71" s="0" t="s">
        <v>3130</v>
      </c>
      <c r="G71" s="0" t="s">
        <v>3266</v>
      </c>
    </row>
    <row customHeight="1" ht="11.25">
      <c r="A72" s="373" t="s">
        <v>14</v>
      </c>
      <c r="B72" s="0" t="s">
        <v>3252</v>
      </c>
      <c r="C72" s="0" t="s">
        <v>3253</v>
      </c>
      <c r="D72" s="0" t="s">
        <v>3252</v>
      </c>
      <c r="E72" s="0" t="s">
        <v>3253</v>
      </c>
      <c r="F72" s="0" t="s">
        <v>3131</v>
      </c>
      <c r="G72" s="0" t="s">
        <v>3267</v>
      </c>
    </row>
    <row customHeight="1" ht="11.25">
      <c r="A73" s="373" t="s">
        <v>14</v>
      </c>
      <c r="B73" s="0" t="s">
        <v>3252</v>
      </c>
      <c r="C73" s="0" t="s">
        <v>3253</v>
      </c>
      <c r="D73" s="0" t="s">
        <v>3268</v>
      </c>
      <c r="E73" s="0" t="s">
        <v>3269</v>
      </c>
      <c r="F73" s="0" t="s">
        <v>3130</v>
      </c>
      <c r="G73" s="0" t="s">
        <v>3270</v>
      </c>
    </row>
    <row customHeight="1" ht="11.25">
      <c r="A74" s="373" t="s">
        <v>14</v>
      </c>
      <c r="B74" s="0" t="s">
        <v>3252</v>
      </c>
      <c r="C74" s="0" t="s">
        <v>3253</v>
      </c>
      <c r="D74" s="0" t="s">
        <v>3271</v>
      </c>
      <c r="E74" s="0" t="s">
        <v>3272</v>
      </c>
      <c r="F74" s="0" t="s">
        <v>3130</v>
      </c>
      <c r="G74" s="0" t="s">
        <v>3273</v>
      </c>
    </row>
    <row customHeight="1" ht="11.25">
      <c r="A75" s="373" t="s">
        <v>14</v>
      </c>
      <c r="B75" s="0" t="s">
        <v>3252</v>
      </c>
      <c r="C75" s="0" t="s">
        <v>3253</v>
      </c>
      <c r="D75" s="0" t="s">
        <v>3274</v>
      </c>
      <c r="E75" s="0" t="s">
        <v>3275</v>
      </c>
      <c r="F75" s="0" t="s">
        <v>3130</v>
      </c>
      <c r="G75" s="0" t="s">
        <v>3276</v>
      </c>
    </row>
    <row customHeight="1" ht="11.25">
      <c r="A76" s="373" t="s">
        <v>14</v>
      </c>
      <c r="B76" s="0" t="s">
        <v>3277</v>
      </c>
      <c r="C76" s="0" t="s">
        <v>3278</v>
      </c>
      <c r="D76" s="0" t="s">
        <v>3277</v>
      </c>
      <c r="E76" s="0" t="s">
        <v>3278</v>
      </c>
      <c r="F76" s="0" t="s">
        <v>3112</v>
      </c>
      <c r="G76" s="0" t="s">
        <v>3279</v>
      </c>
    </row>
    <row customHeight="1" ht="11.25">
      <c r="A77" s="373" t="s">
        <v>14</v>
      </c>
      <c r="B77" s="0" t="s">
        <v>100</v>
      </c>
      <c r="C77" s="0" t="s">
        <v>101</v>
      </c>
      <c r="D77" s="0" t="s">
        <v>100</v>
      </c>
      <c r="E77" s="0" t="s">
        <v>101</v>
      </c>
      <c r="F77" s="0" t="s">
        <v>3115</v>
      </c>
      <c r="G77" s="0" t="s">
        <v>99</v>
      </c>
    </row>
    <row customHeight="1" ht="11.25">
      <c r="A78" s="373" t="s">
        <v>14</v>
      </c>
      <c r="B78" s="0" t="s">
        <v>3280</v>
      </c>
      <c r="C78" s="0" t="s">
        <v>3281</v>
      </c>
      <c r="D78" s="0" t="s">
        <v>3280</v>
      </c>
      <c r="E78" s="0" t="s">
        <v>3281</v>
      </c>
      <c r="F78" s="0" t="s">
        <v>3112</v>
      </c>
      <c r="G78" s="0" t="s">
        <v>3282</v>
      </c>
    </row>
    <row customHeight="1" ht="11.25">
      <c r="A79" s="373" t="s">
        <v>14</v>
      </c>
      <c r="B79" s="0" t="s">
        <v>3283</v>
      </c>
      <c r="C79" s="0" t="s">
        <v>3284</v>
      </c>
      <c r="D79" s="0" t="s">
        <v>3283</v>
      </c>
      <c r="E79" s="0" t="s">
        <v>3284</v>
      </c>
      <c r="F79" s="0" t="s">
        <v>3112</v>
      </c>
      <c r="G79" s="0" t="s">
        <v>3285</v>
      </c>
    </row>
    <row customHeight="1" ht="11.25">
      <c r="A80" s="373" t="s">
        <v>14</v>
      </c>
      <c r="B80" s="0" t="s">
        <v>3286</v>
      </c>
      <c r="C80" s="0" t="s">
        <v>3287</v>
      </c>
      <c r="D80" s="0" t="s">
        <v>3286</v>
      </c>
      <c r="E80" s="0" t="s">
        <v>3287</v>
      </c>
      <c r="F80" s="0" t="s">
        <v>3112</v>
      </c>
      <c r="G80" s="0" t="s">
        <v>3288</v>
      </c>
    </row>
    <row customHeight="1" ht="11.25">
      <c r="A81" s="373" t="s">
        <v>14</v>
      </c>
      <c r="B81" s="0" t="s">
        <v>3289</v>
      </c>
      <c r="C81" s="0" t="s">
        <v>3290</v>
      </c>
      <c r="D81" s="0" t="s">
        <v>3289</v>
      </c>
      <c r="E81" s="0" t="s">
        <v>3290</v>
      </c>
      <c r="F81" s="0" t="s">
        <v>3112</v>
      </c>
      <c r="G81" s="0" t="s">
        <v>3291</v>
      </c>
    </row>
    <row customHeight="1" ht="11.25">
      <c r="A82" s="373" t="s">
        <v>14</v>
      </c>
      <c r="B82" s="0" t="s">
        <v>3292</v>
      </c>
      <c r="C82" s="0" t="s">
        <v>3293</v>
      </c>
      <c r="D82" s="0" t="s">
        <v>3294</v>
      </c>
      <c r="E82" s="0" t="s">
        <v>3295</v>
      </c>
      <c r="F82" s="0" t="s">
        <v>3130</v>
      </c>
      <c r="G82" s="0" t="s">
        <v>3296</v>
      </c>
    </row>
    <row customHeight="1" ht="11.25">
      <c r="A83" s="373" t="s">
        <v>14</v>
      </c>
      <c r="B83" s="0" t="s">
        <v>3292</v>
      </c>
      <c r="C83" s="0" t="s">
        <v>3293</v>
      </c>
      <c r="D83" s="0" t="s">
        <v>3297</v>
      </c>
      <c r="E83" s="0" t="s">
        <v>3298</v>
      </c>
      <c r="F83" s="0" t="s">
        <v>3136</v>
      </c>
      <c r="G83" s="0" t="s">
        <v>3299</v>
      </c>
    </row>
    <row customHeight="1" ht="11.25">
      <c r="A84" s="373" t="s">
        <v>14</v>
      </c>
      <c r="B84" s="0" t="s">
        <v>3292</v>
      </c>
      <c r="C84" s="0" t="s">
        <v>3293</v>
      </c>
      <c r="D84" s="0" t="s">
        <v>3300</v>
      </c>
      <c r="E84" s="0" t="s">
        <v>3301</v>
      </c>
      <c r="F84" s="0" t="s">
        <v>3130</v>
      </c>
      <c r="G84" s="0" t="s">
        <v>3302</v>
      </c>
    </row>
    <row customHeight="1" ht="11.25">
      <c r="A85" s="373" t="s">
        <v>14</v>
      </c>
      <c r="B85" s="0" t="s">
        <v>3292</v>
      </c>
      <c r="C85" s="0" t="s">
        <v>3293</v>
      </c>
      <c r="D85" s="0" t="s">
        <v>3303</v>
      </c>
      <c r="E85" s="0" t="s">
        <v>3304</v>
      </c>
      <c r="F85" s="0" t="s">
        <v>3153</v>
      </c>
      <c r="G85" s="0" t="s">
        <v>3305</v>
      </c>
    </row>
    <row customHeight="1" ht="11.25">
      <c r="A86" s="373" t="s">
        <v>14</v>
      </c>
      <c r="B86" s="0" t="s">
        <v>3292</v>
      </c>
      <c r="C86" s="0" t="s">
        <v>3293</v>
      </c>
      <c r="D86" s="0" t="s">
        <v>3306</v>
      </c>
      <c r="E86" s="0" t="s">
        <v>3307</v>
      </c>
      <c r="F86" s="0" t="s">
        <v>3130</v>
      </c>
      <c r="G86" s="0" t="s">
        <v>3308</v>
      </c>
    </row>
    <row customHeight="1" ht="11.25">
      <c r="A87" s="373" t="s">
        <v>14</v>
      </c>
      <c r="B87" s="0" t="s">
        <v>3292</v>
      </c>
      <c r="C87" s="0" t="s">
        <v>3293</v>
      </c>
      <c r="D87" s="0" t="s">
        <v>3292</v>
      </c>
      <c r="E87" s="0" t="s">
        <v>3293</v>
      </c>
      <c r="F87" s="0" t="s">
        <v>3131</v>
      </c>
      <c r="G87" s="0" t="s">
        <v>3309</v>
      </c>
    </row>
    <row customHeight="1" ht="11.25">
      <c r="A88" s="373" t="s">
        <v>14</v>
      </c>
      <c r="B88" s="0" t="s">
        <v>3292</v>
      </c>
      <c r="C88" s="0" t="s">
        <v>3293</v>
      </c>
      <c r="D88" s="0" t="s">
        <v>3310</v>
      </c>
      <c r="E88" s="0" t="s">
        <v>3311</v>
      </c>
      <c r="F88" s="0" t="s">
        <v>3130</v>
      </c>
      <c r="G88" s="0" t="s">
        <v>3312</v>
      </c>
    </row>
    <row customHeight="1" ht="11.25">
      <c r="A89" s="373" t="s">
        <v>14</v>
      </c>
      <c r="B89" s="0" t="s">
        <v>3313</v>
      </c>
      <c r="C89" s="0" t="s">
        <v>3314</v>
      </c>
      <c r="D89" s="0" t="s">
        <v>3313</v>
      </c>
      <c r="E89" s="0" t="s">
        <v>3314</v>
      </c>
      <c r="F89" s="0" t="s">
        <v>3112</v>
      </c>
      <c r="G89" s="0" t="s">
        <v>3315</v>
      </c>
    </row>
    <row customHeight="1" ht="11.25">
      <c r="A90" s="373" t="s">
        <v>14</v>
      </c>
      <c r="B90" s="0" t="s">
        <v>3316</v>
      </c>
      <c r="C90" s="0" t="s">
        <v>3317</v>
      </c>
      <c r="D90" s="0" t="s">
        <v>3316</v>
      </c>
      <c r="E90" s="0" t="s">
        <v>3317</v>
      </c>
      <c r="F90" s="0" t="s">
        <v>3112</v>
      </c>
      <c r="G90" s="0" t="s">
        <v>3318</v>
      </c>
    </row>
    <row customHeight="1" ht="11.25">
      <c r="A91" s="373" t="s">
        <v>14</v>
      </c>
      <c r="B91" s="0" t="s">
        <v>3319</v>
      </c>
      <c r="C91" s="0" t="s">
        <v>3320</v>
      </c>
      <c r="D91" s="0" t="s">
        <v>3321</v>
      </c>
      <c r="E91" s="0" t="s">
        <v>3322</v>
      </c>
      <c r="F91" s="0" t="s">
        <v>3130</v>
      </c>
      <c r="G91" s="0" t="s">
        <v>3323</v>
      </c>
    </row>
    <row customHeight="1" ht="11.25">
      <c r="A92" s="373" t="s">
        <v>14</v>
      </c>
      <c r="B92" s="0" t="s">
        <v>3319</v>
      </c>
      <c r="C92" s="0" t="s">
        <v>3320</v>
      </c>
      <c r="D92" s="0" t="s">
        <v>3324</v>
      </c>
      <c r="E92" s="0" t="s">
        <v>3325</v>
      </c>
      <c r="F92" s="0" t="s">
        <v>3130</v>
      </c>
      <c r="G92" s="0" t="s">
        <v>3326</v>
      </c>
    </row>
    <row customHeight="1" ht="11.25">
      <c r="A93" s="373" t="s">
        <v>14</v>
      </c>
      <c r="B93" s="0" t="s">
        <v>3319</v>
      </c>
      <c r="C93" s="0" t="s">
        <v>3320</v>
      </c>
      <c r="D93" s="0" t="s">
        <v>3327</v>
      </c>
      <c r="E93" s="0" t="s">
        <v>3328</v>
      </c>
      <c r="F93" s="0" t="s">
        <v>3130</v>
      </c>
      <c r="G93" s="0" t="s">
        <v>3329</v>
      </c>
    </row>
    <row customHeight="1" ht="11.25">
      <c r="A94" s="373" t="s">
        <v>14</v>
      </c>
      <c r="B94" s="0" t="s">
        <v>3319</v>
      </c>
      <c r="C94" s="0" t="s">
        <v>3320</v>
      </c>
      <c r="D94" s="0" t="s">
        <v>3330</v>
      </c>
      <c r="E94" s="0" t="s">
        <v>3331</v>
      </c>
      <c r="F94" s="0" t="s">
        <v>3153</v>
      </c>
      <c r="G94" s="0" t="s">
        <v>3332</v>
      </c>
    </row>
    <row customHeight="1" ht="11.25">
      <c r="A95" s="373" t="s">
        <v>14</v>
      </c>
      <c r="B95" s="0" t="s">
        <v>3319</v>
      </c>
      <c r="C95" s="0" t="s">
        <v>3320</v>
      </c>
      <c r="D95" s="0" t="s">
        <v>3333</v>
      </c>
      <c r="E95" s="0" t="s">
        <v>3334</v>
      </c>
      <c r="F95" s="0" t="s">
        <v>3130</v>
      </c>
      <c r="G95" s="0" t="s">
        <v>3335</v>
      </c>
    </row>
    <row customHeight="1" ht="11.25">
      <c r="A96" s="373" t="s">
        <v>14</v>
      </c>
      <c r="B96" s="0" t="s">
        <v>3319</v>
      </c>
      <c r="C96" s="0" t="s">
        <v>3320</v>
      </c>
      <c r="D96" s="0" t="s">
        <v>3319</v>
      </c>
      <c r="E96" s="0" t="s">
        <v>3320</v>
      </c>
      <c r="F96" s="0" t="s">
        <v>3131</v>
      </c>
      <c r="G96" s="0" t="s">
        <v>3336</v>
      </c>
    </row>
    <row customHeight="1" ht="11.25">
      <c r="A97" s="373" t="s">
        <v>14</v>
      </c>
      <c r="B97" s="0" t="s">
        <v>3319</v>
      </c>
      <c r="C97" s="0" t="s">
        <v>3320</v>
      </c>
      <c r="D97" s="0" t="s">
        <v>3337</v>
      </c>
      <c r="E97" s="0" t="s">
        <v>3338</v>
      </c>
      <c r="F97" s="0" t="s">
        <v>3153</v>
      </c>
      <c r="G97" s="0" t="s">
        <v>3339</v>
      </c>
    </row>
    <row customHeight="1" ht="11.25">
      <c r="A98" s="373" t="s">
        <v>14</v>
      </c>
      <c r="B98" s="0" t="s">
        <v>3319</v>
      </c>
      <c r="C98" s="0" t="s">
        <v>3320</v>
      </c>
      <c r="D98" s="0" t="s">
        <v>3340</v>
      </c>
      <c r="E98" s="0" t="s">
        <v>3341</v>
      </c>
      <c r="F98" s="0" t="s">
        <v>3130</v>
      </c>
      <c r="G98" s="0" t="s">
        <v>3342</v>
      </c>
    </row>
    <row customHeight="1" ht="11.25">
      <c r="A99" s="373" t="s">
        <v>14</v>
      </c>
      <c r="B99" s="0" t="s">
        <v>3343</v>
      </c>
      <c r="C99" s="0" t="s">
        <v>3344</v>
      </c>
      <c r="D99" s="0" t="s">
        <v>3343</v>
      </c>
      <c r="E99" s="0" t="s">
        <v>3344</v>
      </c>
      <c r="F99" s="0" t="s">
        <v>3112</v>
      </c>
      <c r="G99" s="0" t="s">
        <v>3345</v>
      </c>
    </row>
    <row customHeight="1" ht="11.25">
      <c r="A100" s="373" t="s">
        <v>14</v>
      </c>
      <c r="B100" s="0" t="s">
        <v>3346</v>
      </c>
      <c r="C100" s="0" t="s">
        <v>3347</v>
      </c>
      <c r="D100" s="0" t="s">
        <v>3348</v>
      </c>
      <c r="E100" s="0" t="s">
        <v>3349</v>
      </c>
      <c r="F100" s="0" t="s">
        <v>3130</v>
      </c>
      <c r="G100" s="0" t="s">
        <v>3350</v>
      </c>
    </row>
    <row customHeight="1" ht="11.25">
      <c r="A101" s="373" t="s">
        <v>14</v>
      </c>
      <c r="B101" s="0" t="s">
        <v>3346</v>
      </c>
      <c r="C101" s="0" t="s">
        <v>3347</v>
      </c>
      <c r="D101" s="0" t="s">
        <v>3351</v>
      </c>
      <c r="E101" s="0" t="s">
        <v>3352</v>
      </c>
      <c r="F101" s="0" t="s">
        <v>3130</v>
      </c>
      <c r="G101" s="0" t="s">
        <v>3353</v>
      </c>
    </row>
    <row customHeight="1" ht="11.25">
      <c r="A102" s="373" t="s">
        <v>14</v>
      </c>
      <c r="B102" s="0" t="s">
        <v>3346</v>
      </c>
      <c r="C102" s="0" t="s">
        <v>3347</v>
      </c>
      <c r="D102" s="0" t="s">
        <v>3354</v>
      </c>
      <c r="E102" s="0" t="s">
        <v>3355</v>
      </c>
      <c r="F102" s="0" t="s">
        <v>3130</v>
      </c>
      <c r="G102" s="0" t="s">
        <v>3356</v>
      </c>
    </row>
    <row customHeight="1" ht="11.25">
      <c r="A103" s="373" t="s">
        <v>14</v>
      </c>
      <c r="B103" s="0" t="s">
        <v>3346</v>
      </c>
      <c r="C103" s="0" t="s">
        <v>3347</v>
      </c>
      <c r="D103" s="0" t="s">
        <v>3357</v>
      </c>
      <c r="E103" s="0" t="s">
        <v>3358</v>
      </c>
      <c r="F103" s="0" t="s">
        <v>3130</v>
      </c>
      <c r="G103" s="0" t="s">
        <v>3359</v>
      </c>
    </row>
    <row customHeight="1" ht="11.25">
      <c r="A104" s="373" t="s">
        <v>14</v>
      </c>
      <c r="B104" s="0" t="s">
        <v>3346</v>
      </c>
      <c r="C104" s="0" t="s">
        <v>3347</v>
      </c>
      <c r="D104" s="0" t="s">
        <v>3346</v>
      </c>
      <c r="E104" s="0" t="s">
        <v>3347</v>
      </c>
      <c r="F104" s="0" t="s">
        <v>3131</v>
      </c>
      <c r="G104" s="0" t="s">
        <v>3360</v>
      </c>
    </row>
    <row customHeight="1" ht="11.25">
      <c r="A105" s="373" t="s">
        <v>14</v>
      </c>
      <c r="B105" s="0" t="s">
        <v>3346</v>
      </c>
      <c r="C105" s="0" t="s">
        <v>3347</v>
      </c>
      <c r="D105" s="0" t="s">
        <v>3361</v>
      </c>
      <c r="E105" s="0" t="s">
        <v>3362</v>
      </c>
      <c r="F105" s="0" t="s">
        <v>3130</v>
      </c>
      <c r="G105" s="0" t="s">
        <v>3363</v>
      </c>
    </row>
    <row customHeight="1" ht="11.25">
      <c r="A106" s="373" t="s">
        <v>14</v>
      </c>
      <c r="B106" s="0" t="s">
        <v>3364</v>
      </c>
      <c r="C106" s="0" t="s">
        <v>3365</v>
      </c>
      <c r="D106" s="0" t="s">
        <v>3364</v>
      </c>
      <c r="E106" s="0" t="s">
        <v>3365</v>
      </c>
      <c r="F106" s="0" t="s">
        <v>3115</v>
      </c>
      <c r="G106" s="0" t="s">
        <v>3366</v>
      </c>
    </row>
    <row customHeight="1" ht="11.25">
      <c r="A107" s="373" t="s">
        <v>14</v>
      </c>
      <c r="B107" s="0" t="s">
        <v>3367</v>
      </c>
      <c r="C107" s="0" t="s">
        <v>3368</v>
      </c>
      <c r="D107" s="0" t="s">
        <v>3367</v>
      </c>
      <c r="E107" s="0" t="s">
        <v>3368</v>
      </c>
      <c r="F107" s="0" t="s">
        <v>3115</v>
      </c>
      <c r="G107" s="0" t="s">
        <v>3369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5C9F93-8E38-0602-3711-B0A47251424C}" mc:Ignorable="x14ac xr xr2 xr3">
  <sheetPr>
    <tabColor rgb="FFFFCC99"/>
  </sheetPr>
  <dimension ref="A1:D24"/>
  <sheetViews>
    <sheetView topLeftCell="A1" showGridLines="0" workbookViewId="0">
      <selection activeCell="A1" sqref="A1"/>
    </sheetView>
  </sheetViews>
  <sheetFormatPr defaultColWidth="9.140625" customHeight="1" defaultRowHeight="11.25"/>
  <cols>
    <col min="1" max="4" style="5130" width="9.140625"/>
  </cols>
  <sheetData>
    <row customHeight="1" ht="11.25">
      <c r="A1" s="845" t="s">
        <v>3370</v>
      </c>
      <c r="B1" s="845" t="s">
        <v>3371</v>
      </c>
      <c r="C1" s="845" t="s">
        <v>3372</v>
      </c>
      <c r="D1" s="845" t="s">
        <v>3373</v>
      </c>
    </row>
    <row customHeight="1" ht="11.25">
      <c r="A2" s="5131" t="s">
        <v>109</v>
      </c>
      <c r="B2" s="5131" t="s">
        <v>3374</v>
      </c>
      <c r="C2" s="5131" t="s">
        <v>3375</v>
      </c>
      <c r="D2" s="5131" t="s">
        <v>3376</v>
      </c>
    </row>
    <row customHeight="1" ht="11.25">
      <c r="A3" s="5131" t="s">
        <v>110</v>
      </c>
      <c r="B3" s="5131" t="s">
        <v>3377</v>
      </c>
      <c r="C3" s="5131" t="s">
        <v>3378</v>
      </c>
      <c r="D3" s="5131" t="s">
        <v>3379</v>
      </c>
    </row>
    <row customHeight="1" ht="11.25">
      <c r="A4" s="5131" t="s">
        <v>90</v>
      </c>
      <c r="B4" s="5131" t="s">
        <v>3380</v>
      </c>
      <c r="C4" s="5131" t="s">
        <v>3381</v>
      </c>
      <c r="D4" s="5131" t="s">
        <v>1956</v>
      </c>
    </row>
    <row customHeight="1" ht="11.25">
      <c r="A5" s="5131" t="s">
        <v>91</v>
      </c>
      <c r="B5" s="5131" t="s">
        <v>1952</v>
      </c>
      <c r="C5" s="5131" t="s">
        <v>1955</v>
      </c>
      <c r="D5" s="5131" t="s">
        <v>1956</v>
      </c>
    </row>
    <row customHeight="1" ht="11.25">
      <c r="A6" s="5131" t="s">
        <v>111</v>
      </c>
      <c r="B6" s="5131" t="s">
        <v>3382</v>
      </c>
      <c r="C6" s="5131" t="s">
        <v>1955</v>
      </c>
      <c r="D6" s="5131" t="s">
        <v>3383</v>
      </c>
    </row>
    <row customHeight="1" ht="11.25">
      <c r="A7" s="5131" t="s">
        <v>92</v>
      </c>
      <c r="B7" s="5131" t="s">
        <v>3384</v>
      </c>
      <c r="C7" s="5131" t="s">
        <v>3378</v>
      </c>
      <c r="D7" s="5131" t="s">
        <v>3379</v>
      </c>
    </row>
    <row customHeight="1" ht="11.25">
      <c r="A8" s="5131" t="s">
        <v>93</v>
      </c>
      <c r="B8" s="5131" t="s">
        <v>3385</v>
      </c>
      <c r="C8" s="5131" t="s">
        <v>3381</v>
      </c>
      <c r="D8" s="5131" t="s">
        <v>3379</v>
      </c>
    </row>
    <row customHeight="1" ht="11.25">
      <c r="A9" s="5131" t="s">
        <v>112</v>
      </c>
      <c r="B9" s="5131" t="s">
        <v>3386</v>
      </c>
      <c r="C9" s="5131" t="s">
        <v>3387</v>
      </c>
      <c r="D9" s="5131" t="s">
        <v>3379</v>
      </c>
    </row>
    <row customHeight="1" ht="11.25">
      <c r="A10" s="5131" t="s">
        <v>155</v>
      </c>
      <c r="B10" s="5131" t="s">
        <v>3388</v>
      </c>
      <c r="C10" s="5131" t="s">
        <v>3387</v>
      </c>
      <c r="D10" s="5131" t="s">
        <v>3389</v>
      </c>
    </row>
    <row customHeight="1" ht="11.25">
      <c r="A11" s="5131" t="s">
        <v>156</v>
      </c>
      <c r="B11" s="5131" t="s">
        <v>3390</v>
      </c>
      <c r="C11" s="5131" t="s">
        <v>3387</v>
      </c>
      <c r="D11" s="5131" t="s">
        <v>3389</v>
      </c>
    </row>
    <row customHeight="1" ht="11.25">
      <c r="A12" s="5131" t="s">
        <v>157</v>
      </c>
      <c r="B12" s="5131" t="s">
        <v>3391</v>
      </c>
      <c r="C12" s="5131" t="s">
        <v>3392</v>
      </c>
      <c r="D12" s="5131" t="s">
        <v>3393</v>
      </c>
    </row>
    <row customHeight="1" ht="11.25">
      <c r="A13" s="5131" t="s">
        <v>158</v>
      </c>
      <c r="B13" s="5131" t="s">
        <v>3391</v>
      </c>
      <c r="C13" s="5131" t="s">
        <v>3392</v>
      </c>
      <c r="D13" s="5131" t="s">
        <v>3393</v>
      </c>
    </row>
    <row customHeight="1" ht="11.25">
      <c r="A14" s="5131" t="s">
        <v>159</v>
      </c>
      <c r="B14" s="5131" t="s">
        <v>3394</v>
      </c>
      <c r="C14" s="5131" t="s">
        <v>3395</v>
      </c>
      <c r="D14" s="5131" t="s">
        <v>3396</v>
      </c>
    </row>
    <row customHeight="1" ht="11.25">
      <c r="A15" s="5131" t="s">
        <v>160</v>
      </c>
      <c r="B15" s="5131" t="s">
        <v>3397</v>
      </c>
      <c r="C15" s="5131" t="s">
        <v>3395</v>
      </c>
      <c r="D15" s="5131" t="s">
        <v>3398</v>
      </c>
    </row>
    <row customHeight="1" ht="11.25">
      <c r="A16" s="5131" t="s">
        <v>858</v>
      </c>
      <c r="B16" s="5131" t="s">
        <v>3399</v>
      </c>
      <c r="C16" s="5131" t="s">
        <v>3395</v>
      </c>
      <c r="D16" s="5131" t="s">
        <v>3400</v>
      </c>
    </row>
    <row customHeight="1" ht="11.25">
      <c r="A17" s="5131" t="s">
        <v>864</v>
      </c>
      <c r="B17" s="5131" t="s">
        <v>3401</v>
      </c>
      <c r="C17" s="5131" t="s">
        <v>3395</v>
      </c>
      <c r="D17" s="5131" t="s">
        <v>3402</v>
      </c>
    </row>
    <row customHeight="1" ht="11.25">
      <c r="A18" s="5131" t="s">
        <v>875</v>
      </c>
      <c r="B18" s="5131" t="s">
        <v>3403</v>
      </c>
      <c r="C18" s="5131" t="s">
        <v>3395</v>
      </c>
      <c r="D18" s="5131" t="s">
        <v>3400</v>
      </c>
    </row>
    <row customHeight="1" ht="11.25">
      <c r="A19" s="5131" t="s">
        <v>889</v>
      </c>
      <c r="B19" s="5131" t="s">
        <v>3404</v>
      </c>
      <c r="C19" s="5131" t="s">
        <v>3395</v>
      </c>
      <c r="D19" s="5131" t="s">
        <v>3402</v>
      </c>
    </row>
    <row customHeight="1" ht="11.25">
      <c r="A20" s="5131" t="s">
        <v>901</v>
      </c>
      <c r="B20" s="5131" t="s">
        <v>3405</v>
      </c>
      <c r="C20" s="5131" t="s">
        <v>1955</v>
      </c>
      <c r="D20" s="5131" t="s">
        <v>3393</v>
      </c>
    </row>
    <row customHeight="1" ht="11.25">
      <c r="A21" s="5131" t="s">
        <v>910</v>
      </c>
      <c r="B21" s="5131" t="s">
        <v>3406</v>
      </c>
      <c r="C21" s="5131" t="s">
        <v>3395</v>
      </c>
      <c r="D21" s="5131" t="s">
        <v>3407</v>
      </c>
    </row>
    <row customHeight="1" ht="11.25">
      <c r="A22" s="5131" t="s">
        <v>926</v>
      </c>
      <c r="B22" s="5131" t="s">
        <v>3408</v>
      </c>
      <c r="C22" s="5131" t="s">
        <v>3409</v>
      </c>
      <c r="D22" s="5131" t="s">
        <v>3402</v>
      </c>
    </row>
    <row customHeight="1" ht="11.25">
      <c r="A23" s="5131" t="s">
        <v>933</v>
      </c>
      <c r="B23" s="5131" t="s">
        <v>3410</v>
      </c>
      <c r="C23" s="5131" t="s">
        <v>3409</v>
      </c>
      <c r="D23" s="5131" t="s">
        <v>3402</v>
      </c>
    </row>
    <row customHeight="1" ht="11.25">
      <c r="A24" s="5131" t="s">
        <v>941</v>
      </c>
      <c r="B24" s="5131" t="s">
        <v>3411</v>
      </c>
      <c r="C24" s="5131" t="s">
        <v>3395</v>
      </c>
      <c r="D24" s="5131" t="s">
        <v>1956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DB3A45-7DB1-BCFB-266F-5A44ECB01E7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B74F35-4169-462A-AF7B-7AB76DDDAC4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132" width="9.140625"/>
  </cols>
  <sheetData>
    <row customHeight="1" ht="11.25">
      <c r="A1" s="169" t="s">
        <v>137</v>
      </c>
      <c r="B1" s="169" t="s">
        <v>3412</v>
      </c>
    </row>
    <row customHeight="1" ht="11.25">
      <c r="A2" s="48" t="s">
        <v>98</v>
      </c>
      <c r="B2" s="48" t="s">
        <v>3413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B9323-5433-FCEE-E862-1D9D55B1598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130" width="9.140625"/>
    <col min="2" max="2" style="5130" width="65.28125" customWidth="1"/>
  </cols>
  <sheetData>
    <row customHeight="1" ht="11.25">
      <c r="A1" s="845" t="s">
        <v>3414</v>
      </c>
      <c r="B1" s="845" t="s">
        <v>3415</v>
      </c>
    </row>
    <row customHeight="1" ht="11.25">
      <c r="A2" s="845">
        <v>4213775</v>
      </c>
      <c r="B2" s="845" t="s">
        <v>614</v>
      </c>
    </row>
    <row customHeight="1" ht="11.25">
      <c r="A3" s="845">
        <v>4213784</v>
      </c>
      <c r="B3" s="845" t="s">
        <v>650</v>
      </c>
    </row>
    <row customHeight="1" ht="11.25">
      <c r="A4" s="845">
        <v>4213781</v>
      </c>
      <c r="B4" s="845" t="s">
        <v>643</v>
      </c>
    </row>
    <row customHeight="1" ht="11.25">
      <c r="A5" s="845">
        <v>4213776</v>
      </c>
      <c r="B5" s="845" t="s">
        <v>173</v>
      </c>
    </row>
    <row customHeight="1" ht="11.25">
      <c r="A6" s="845">
        <v>4213777</v>
      </c>
      <c r="B6" s="845" t="s">
        <v>179</v>
      </c>
    </row>
    <row customHeight="1" ht="11.25">
      <c r="A7" s="845">
        <v>4213778</v>
      </c>
      <c r="B7" s="845" t="s">
        <v>185</v>
      </c>
    </row>
    <row customHeight="1" ht="11.25">
      <c r="A8" s="845">
        <v>4213780</v>
      </c>
      <c r="B8" s="845" t="s">
        <v>191</v>
      </c>
    </row>
    <row customHeight="1" ht="11.25">
      <c r="A9" s="845">
        <v>4213779</v>
      </c>
      <c r="B9" s="845" t="s">
        <v>782</v>
      </c>
    </row>
    <row customHeight="1" ht="11.25">
      <c r="A10" s="845">
        <v>4213783</v>
      </c>
      <c r="B10" s="845" t="s">
        <v>797</v>
      </c>
    </row>
    <row customHeight="1" ht="11.25">
      <c r="A11" s="845">
        <v>4213782</v>
      </c>
      <c r="B11" s="845"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744C2A-841A-BF4B-3B84-8B1C7B7C63A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130" width="9.140625"/>
    <col min="2" max="2" style="5130" width="65.28125" customWidth="1"/>
  </cols>
  <sheetData>
    <row customHeight="1" ht="11.25">
      <c r="A1" s="845" t="s">
        <v>3414</v>
      </c>
      <c r="B1" s="845" t="s">
        <v>3416</v>
      </c>
    </row>
    <row customHeight="1" ht="11.25">
      <c r="A2" s="845" t="s">
        <v>119</v>
      </c>
      <c r="B2" s="845" t="s">
        <v>898</v>
      </c>
    </row>
    <row customHeight="1" ht="11.25">
      <c r="A3" s="845" t="s">
        <v>3417</v>
      </c>
      <c r="B3" s="845" t="s">
        <v>907</v>
      </c>
    </row>
    <row customHeight="1" ht="11.25">
      <c r="A4" s="845" t="s">
        <v>127</v>
      </c>
      <c r="B4" s="845" t="s">
        <v>917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3378EB-77BE-07D3-700C-A50ADD6090AB}"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373" t="s">
        <v>3103</v>
      </c>
      <c r="B1" s="373" t="s">
        <v>3104</v>
      </c>
      <c r="C1" s="373" t="s">
        <v>3105</v>
      </c>
      <c r="D1" s="373" t="s">
        <v>3106</v>
      </c>
      <c r="E1" s="0" t="s">
        <v>3107</v>
      </c>
      <c r="F1" s="0" t="s">
        <v>3108</v>
      </c>
      <c r="G1" s="0" t="s">
        <v>3109</v>
      </c>
    </row>
    <row customHeight="1" ht="11.25">
      <c r="A2" s="0" t="s">
        <v>14</v>
      </c>
      <c r="B2" s="0" t="s">
        <v>3110</v>
      </c>
      <c r="C2" s="0" t="s">
        <v>3111</v>
      </c>
      <c r="D2" s="0" t="s">
        <v>3110</v>
      </c>
      <c r="E2" s="0" t="s">
        <v>3111</v>
      </c>
      <c r="F2" s="0" t="s">
        <v>3112</v>
      </c>
      <c r="G2" s="0" t="s">
        <v>109</v>
      </c>
    </row>
    <row customHeight="1" ht="11.25">
      <c r="A3" s="0" t="s">
        <v>14</v>
      </c>
      <c r="B3" s="0" t="s">
        <v>3113</v>
      </c>
      <c r="C3" s="0" t="s">
        <v>3114</v>
      </c>
      <c r="D3" s="0" t="s">
        <v>3113</v>
      </c>
      <c r="E3" s="0" t="s">
        <v>3114</v>
      </c>
      <c r="F3" s="0" t="s">
        <v>3115</v>
      </c>
      <c r="G3" s="0" t="s">
        <v>110</v>
      </c>
    </row>
    <row customHeight="1" ht="11.25">
      <c r="A4" s="0" t="s">
        <v>14</v>
      </c>
      <c r="B4" s="0" t="s">
        <v>3116</v>
      </c>
      <c r="C4" s="0" t="s">
        <v>3117</v>
      </c>
      <c r="D4" s="0" t="s">
        <v>3116</v>
      </c>
      <c r="E4" s="0" t="s">
        <v>3117</v>
      </c>
      <c r="F4" s="0" t="s">
        <v>3115</v>
      </c>
      <c r="G4" s="0" t="s">
        <v>90</v>
      </c>
    </row>
    <row customHeight="1" ht="11.25">
      <c r="A5" s="0" t="s">
        <v>14</v>
      </c>
      <c r="B5" s="0" t="s">
        <v>3118</v>
      </c>
      <c r="C5" s="0" t="s">
        <v>3119</v>
      </c>
      <c r="D5" s="0" t="s">
        <v>3118</v>
      </c>
      <c r="E5" s="0" t="s">
        <v>3119</v>
      </c>
      <c r="F5" s="0" t="s">
        <v>3115</v>
      </c>
      <c r="G5" s="0" t="s">
        <v>91</v>
      </c>
    </row>
    <row customHeight="1" ht="11.25">
      <c r="A6" s="0" t="s">
        <v>14</v>
      </c>
      <c r="B6" s="0" t="s">
        <v>3120</v>
      </c>
      <c r="C6" s="0" t="s">
        <v>3121</v>
      </c>
      <c r="D6" s="0" t="s">
        <v>3120</v>
      </c>
      <c r="E6" s="0" t="s">
        <v>3121</v>
      </c>
      <c r="F6" s="0" t="s">
        <v>3115</v>
      </c>
      <c r="G6" s="0" t="s">
        <v>111</v>
      </c>
    </row>
    <row customHeight="1" ht="11.25">
      <c r="A7" s="0" t="s">
        <v>14</v>
      </c>
      <c r="B7" s="0" t="s">
        <v>3122</v>
      </c>
      <c r="C7" s="0" t="s">
        <v>3123</v>
      </c>
      <c r="D7" s="0" t="s">
        <v>3122</v>
      </c>
      <c r="E7" s="0" t="s">
        <v>3123</v>
      </c>
      <c r="F7" s="0" t="s">
        <v>3115</v>
      </c>
      <c r="G7" s="0" t="s">
        <v>92</v>
      </c>
    </row>
    <row customHeight="1" ht="11.25">
      <c r="A8" s="0" t="s">
        <v>14</v>
      </c>
      <c r="B8" s="0" t="s">
        <v>3124</v>
      </c>
      <c r="C8" s="0" t="s">
        <v>3125</v>
      </c>
      <c r="D8" s="0" t="s">
        <v>3124</v>
      </c>
      <c r="E8" s="0" t="s">
        <v>3125</v>
      </c>
      <c r="F8" s="0" t="s">
        <v>3115</v>
      </c>
      <c r="G8" s="0" t="s">
        <v>93</v>
      </c>
    </row>
    <row customHeight="1" ht="11.25">
      <c r="A9" s="0" t="s">
        <v>14</v>
      </c>
      <c r="B9" s="0" t="s">
        <v>3126</v>
      </c>
      <c r="C9" s="0" t="s">
        <v>3127</v>
      </c>
      <c r="D9" s="0" t="s">
        <v>3128</v>
      </c>
      <c r="E9" s="0" t="s">
        <v>3129</v>
      </c>
      <c r="F9" s="0" t="s">
        <v>3130</v>
      </c>
      <c r="G9" s="0" t="s">
        <v>112</v>
      </c>
    </row>
    <row customHeight="1" ht="11.25">
      <c r="A10" s="0" t="s">
        <v>14</v>
      </c>
      <c r="B10" s="0" t="s">
        <v>3126</v>
      </c>
      <c r="C10" s="0" t="s">
        <v>3127</v>
      </c>
      <c r="D10" s="0" t="s">
        <v>3126</v>
      </c>
      <c r="E10" s="0" t="s">
        <v>3127</v>
      </c>
      <c r="F10" s="0" t="s">
        <v>3131</v>
      </c>
      <c r="G10" s="0" t="s">
        <v>155</v>
      </c>
    </row>
    <row customHeight="1" ht="11.25">
      <c r="A11" s="0" t="s">
        <v>14</v>
      </c>
      <c r="B11" s="0" t="s">
        <v>3126</v>
      </c>
      <c r="C11" s="0" t="s">
        <v>3127</v>
      </c>
      <c r="D11" s="0" t="s">
        <v>3132</v>
      </c>
      <c r="E11" s="0" t="s">
        <v>3133</v>
      </c>
      <c r="F11" s="0" t="s">
        <v>3130</v>
      </c>
      <c r="G11" s="0" t="s">
        <v>156</v>
      </c>
    </row>
    <row customHeight="1" ht="11.25">
      <c r="A12" s="0" t="s">
        <v>14</v>
      </c>
      <c r="B12" s="0" t="s">
        <v>3126</v>
      </c>
      <c r="C12" s="0" t="s">
        <v>3127</v>
      </c>
      <c r="D12" s="0" t="s">
        <v>3134</v>
      </c>
      <c r="E12" s="0" t="s">
        <v>3135</v>
      </c>
      <c r="F12" s="0" t="s">
        <v>3136</v>
      </c>
      <c r="G12" s="0" t="s">
        <v>157</v>
      </c>
    </row>
    <row customHeight="1" ht="11.25">
      <c r="A13" s="0" t="s">
        <v>14</v>
      </c>
      <c r="B13" s="0" t="s">
        <v>3126</v>
      </c>
      <c r="C13" s="0" t="s">
        <v>3127</v>
      </c>
      <c r="D13" s="0" t="s">
        <v>3137</v>
      </c>
      <c r="E13" s="0" t="s">
        <v>3138</v>
      </c>
      <c r="F13" s="0" t="s">
        <v>3130</v>
      </c>
      <c r="G13" s="0" t="s">
        <v>158</v>
      </c>
    </row>
    <row customHeight="1" ht="11.25">
      <c r="A14" s="0" t="s">
        <v>14</v>
      </c>
      <c r="B14" s="0" t="s">
        <v>3126</v>
      </c>
      <c r="C14" s="0" t="s">
        <v>3127</v>
      </c>
      <c r="D14" s="0" t="s">
        <v>3139</v>
      </c>
      <c r="E14" s="0" t="s">
        <v>3140</v>
      </c>
      <c r="F14" s="0" t="s">
        <v>3130</v>
      </c>
      <c r="G14" s="0" t="s">
        <v>159</v>
      </c>
    </row>
    <row customHeight="1" ht="11.25">
      <c r="A15" s="0" t="s">
        <v>14</v>
      </c>
      <c r="B15" s="0" t="s">
        <v>3126</v>
      </c>
      <c r="C15" s="0" t="s">
        <v>3127</v>
      </c>
      <c r="D15" s="0" t="s">
        <v>3141</v>
      </c>
      <c r="E15" s="0" t="s">
        <v>3142</v>
      </c>
      <c r="F15" s="0" t="s">
        <v>3130</v>
      </c>
      <c r="G15" s="0" t="s">
        <v>160</v>
      </c>
    </row>
    <row customHeight="1" ht="11.25">
      <c r="A16" s="0" t="s">
        <v>14</v>
      </c>
      <c r="B16" s="0" t="s">
        <v>3126</v>
      </c>
      <c r="C16" s="0" t="s">
        <v>3127</v>
      </c>
      <c r="D16" s="0" t="s">
        <v>3143</v>
      </c>
      <c r="E16" s="0" t="s">
        <v>3144</v>
      </c>
      <c r="F16" s="0" t="s">
        <v>3130</v>
      </c>
      <c r="G16" s="0" t="s">
        <v>858</v>
      </c>
    </row>
    <row customHeight="1" ht="11.25">
      <c r="A17" s="0" t="s">
        <v>14</v>
      </c>
      <c r="B17" s="0" t="s">
        <v>3145</v>
      </c>
      <c r="C17" s="0" t="s">
        <v>3146</v>
      </c>
      <c r="D17" s="0" t="s">
        <v>3145</v>
      </c>
      <c r="E17" s="0" t="s">
        <v>3146</v>
      </c>
      <c r="F17" s="0" t="s">
        <v>3112</v>
      </c>
      <c r="G17" s="0" t="s">
        <v>864</v>
      </c>
    </row>
    <row customHeight="1" ht="11.25">
      <c r="A18" s="0" t="s">
        <v>14</v>
      </c>
      <c r="B18" s="0" t="s">
        <v>3147</v>
      </c>
      <c r="C18" s="0" t="s">
        <v>3148</v>
      </c>
      <c r="D18" s="0" t="s">
        <v>3149</v>
      </c>
      <c r="E18" s="0" t="s">
        <v>3150</v>
      </c>
      <c r="F18" s="0" t="s">
        <v>3130</v>
      </c>
      <c r="G18" s="0" t="s">
        <v>875</v>
      </c>
    </row>
    <row customHeight="1" ht="11.25">
      <c r="A19" s="0" t="s">
        <v>14</v>
      </c>
      <c r="B19" s="0" t="s">
        <v>3147</v>
      </c>
      <c r="C19" s="0" t="s">
        <v>3148</v>
      </c>
      <c r="D19" s="0" t="s">
        <v>3151</v>
      </c>
      <c r="E19" s="0" t="s">
        <v>3152</v>
      </c>
      <c r="F19" s="0" t="s">
        <v>3153</v>
      </c>
      <c r="G19" s="0" t="s">
        <v>889</v>
      </c>
    </row>
    <row customHeight="1" ht="11.25">
      <c r="A20" s="0" t="s">
        <v>14</v>
      </c>
      <c r="B20" s="0" t="s">
        <v>3147</v>
      </c>
      <c r="C20" s="0" t="s">
        <v>3148</v>
      </c>
      <c r="D20" s="0" t="s">
        <v>3147</v>
      </c>
      <c r="E20" s="0" t="s">
        <v>3148</v>
      </c>
      <c r="F20" s="0" t="s">
        <v>3131</v>
      </c>
      <c r="G20" s="0" t="s">
        <v>901</v>
      </c>
    </row>
    <row customHeight="1" ht="11.25">
      <c r="A21" s="0" t="s">
        <v>14</v>
      </c>
      <c r="B21" s="0" t="s">
        <v>3147</v>
      </c>
      <c r="C21" s="0" t="s">
        <v>3148</v>
      </c>
      <c r="D21" s="0" t="s">
        <v>3154</v>
      </c>
      <c r="E21" s="0" t="s">
        <v>3155</v>
      </c>
      <c r="F21" s="0" t="s">
        <v>3153</v>
      </c>
      <c r="G21" s="0" t="s">
        <v>910</v>
      </c>
    </row>
    <row customHeight="1" ht="11.25">
      <c r="A22" s="0" t="s">
        <v>14</v>
      </c>
      <c r="B22" s="0" t="s">
        <v>3147</v>
      </c>
      <c r="C22" s="0" t="s">
        <v>3148</v>
      </c>
      <c r="D22" s="0" t="s">
        <v>3156</v>
      </c>
      <c r="E22" s="0" t="s">
        <v>3157</v>
      </c>
      <c r="F22" s="0" t="s">
        <v>3130</v>
      </c>
      <c r="G22" s="0" t="s">
        <v>926</v>
      </c>
    </row>
    <row customHeight="1" ht="11.25">
      <c r="A23" s="0" t="s">
        <v>14</v>
      </c>
      <c r="B23" s="0" t="s">
        <v>3147</v>
      </c>
      <c r="C23" s="0" t="s">
        <v>3148</v>
      </c>
      <c r="D23" s="0" t="s">
        <v>3158</v>
      </c>
      <c r="E23" s="0" t="s">
        <v>3159</v>
      </c>
      <c r="F23" s="0" t="s">
        <v>3136</v>
      </c>
      <c r="G23" s="0" t="s">
        <v>933</v>
      </c>
    </row>
    <row customHeight="1" ht="11.25">
      <c r="A24" s="0" t="s">
        <v>14</v>
      </c>
      <c r="B24" s="0" t="s">
        <v>3147</v>
      </c>
      <c r="C24" s="0" t="s">
        <v>3148</v>
      </c>
      <c r="D24" s="0" t="s">
        <v>3160</v>
      </c>
      <c r="E24" s="0" t="s">
        <v>3161</v>
      </c>
      <c r="F24" s="0" t="s">
        <v>3130</v>
      </c>
      <c r="G24" s="0" t="s">
        <v>941</v>
      </c>
    </row>
    <row customHeight="1" ht="11.25">
      <c r="A25" s="0" t="s">
        <v>14</v>
      </c>
      <c r="B25" s="0" t="s">
        <v>3147</v>
      </c>
      <c r="C25" s="0" t="s">
        <v>3148</v>
      </c>
      <c r="D25" s="0" t="s">
        <v>3162</v>
      </c>
      <c r="E25" s="0" t="s">
        <v>3163</v>
      </c>
      <c r="F25" s="0" t="s">
        <v>3130</v>
      </c>
      <c r="G25" s="0" t="s">
        <v>948</v>
      </c>
    </row>
    <row customHeight="1" ht="11.25">
      <c r="A26" s="0" t="s">
        <v>14</v>
      </c>
      <c r="B26" s="0" t="s">
        <v>3164</v>
      </c>
      <c r="C26" s="0" t="s">
        <v>3165</v>
      </c>
      <c r="D26" s="0" t="s">
        <v>3164</v>
      </c>
      <c r="E26" s="0" t="s">
        <v>3165</v>
      </c>
      <c r="F26" s="0" t="s">
        <v>3112</v>
      </c>
      <c r="G26" s="0" t="s">
        <v>952</v>
      </c>
    </row>
    <row customHeight="1" ht="11.25">
      <c r="A27" s="0" t="s">
        <v>14</v>
      </c>
      <c r="B27" s="0" t="s">
        <v>3166</v>
      </c>
      <c r="C27" s="0" t="s">
        <v>3167</v>
      </c>
      <c r="D27" s="0" t="s">
        <v>3168</v>
      </c>
      <c r="E27" s="0" t="s">
        <v>3169</v>
      </c>
      <c r="F27" s="0" t="s">
        <v>3153</v>
      </c>
      <c r="G27" s="0" t="s">
        <v>957</v>
      </c>
    </row>
    <row customHeight="1" ht="11.25">
      <c r="A28" s="0" t="s">
        <v>14</v>
      </c>
      <c r="B28" s="0" t="s">
        <v>3166</v>
      </c>
      <c r="C28" s="0" t="s">
        <v>3167</v>
      </c>
      <c r="D28" s="0" t="s">
        <v>3170</v>
      </c>
      <c r="E28" s="0" t="s">
        <v>3171</v>
      </c>
      <c r="F28" s="0" t="s">
        <v>3130</v>
      </c>
      <c r="G28" s="0" t="s">
        <v>965</v>
      </c>
    </row>
    <row customHeight="1" ht="11.25">
      <c r="A29" s="0" t="s">
        <v>14</v>
      </c>
      <c r="B29" s="0" t="s">
        <v>3166</v>
      </c>
      <c r="C29" s="0" t="s">
        <v>3167</v>
      </c>
      <c r="D29" s="0" t="s">
        <v>3172</v>
      </c>
      <c r="E29" s="0" t="s">
        <v>3173</v>
      </c>
      <c r="F29" s="0" t="s">
        <v>3130</v>
      </c>
      <c r="G29" s="0" t="s">
        <v>967</v>
      </c>
    </row>
    <row customHeight="1" ht="11.25">
      <c r="A30" s="0" t="s">
        <v>14</v>
      </c>
      <c r="B30" s="0" t="s">
        <v>3166</v>
      </c>
      <c r="C30" s="0" t="s">
        <v>3167</v>
      </c>
      <c r="D30" s="0" t="s">
        <v>3174</v>
      </c>
      <c r="E30" s="0" t="s">
        <v>3175</v>
      </c>
      <c r="F30" s="0" t="s">
        <v>3130</v>
      </c>
      <c r="G30" s="0" t="s">
        <v>970</v>
      </c>
    </row>
    <row customHeight="1" ht="11.25">
      <c r="A31" s="0" t="s">
        <v>14</v>
      </c>
      <c r="B31" s="0" t="s">
        <v>3166</v>
      </c>
      <c r="C31" s="0" t="s">
        <v>3167</v>
      </c>
      <c r="D31" s="0" t="s">
        <v>3176</v>
      </c>
      <c r="E31" s="0" t="s">
        <v>3177</v>
      </c>
      <c r="F31" s="0" t="s">
        <v>3130</v>
      </c>
      <c r="G31" s="0" t="s">
        <v>976</v>
      </c>
    </row>
    <row customHeight="1" ht="11.25">
      <c r="A32" s="0" t="s">
        <v>14</v>
      </c>
      <c r="B32" s="0" t="s">
        <v>3166</v>
      </c>
      <c r="C32" s="0" t="s">
        <v>3167</v>
      </c>
      <c r="D32" s="0" t="s">
        <v>3166</v>
      </c>
      <c r="E32" s="0" t="s">
        <v>3167</v>
      </c>
      <c r="F32" s="0" t="s">
        <v>3131</v>
      </c>
      <c r="G32" s="0" t="s">
        <v>978</v>
      </c>
    </row>
    <row customHeight="1" ht="11.25">
      <c r="A33" s="0" t="s">
        <v>14</v>
      </c>
      <c r="B33" s="0" t="s">
        <v>3166</v>
      </c>
      <c r="C33" s="0" t="s">
        <v>3167</v>
      </c>
      <c r="D33" s="0" t="s">
        <v>3178</v>
      </c>
      <c r="E33" s="0" t="s">
        <v>3179</v>
      </c>
      <c r="F33" s="0" t="s">
        <v>3130</v>
      </c>
      <c r="G33" s="0" t="s">
        <v>980</v>
      </c>
    </row>
    <row customHeight="1" ht="11.25">
      <c r="A34" s="0" t="s">
        <v>14</v>
      </c>
      <c r="B34" s="0" t="s">
        <v>3166</v>
      </c>
      <c r="C34" s="0" t="s">
        <v>3167</v>
      </c>
      <c r="D34" s="0" t="s">
        <v>3180</v>
      </c>
      <c r="E34" s="0" t="s">
        <v>3181</v>
      </c>
      <c r="F34" s="0" t="s">
        <v>3130</v>
      </c>
      <c r="G34" s="0" t="s">
        <v>982</v>
      </c>
    </row>
    <row customHeight="1" ht="11.25">
      <c r="A35" s="0" t="s">
        <v>14</v>
      </c>
      <c r="B35" s="0" t="s">
        <v>3166</v>
      </c>
      <c r="C35" s="0" t="s">
        <v>3167</v>
      </c>
      <c r="D35" s="0" t="s">
        <v>3182</v>
      </c>
      <c r="E35" s="0" t="s">
        <v>3183</v>
      </c>
      <c r="F35" s="0" t="s">
        <v>3130</v>
      </c>
      <c r="G35" s="0" t="s">
        <v>987</v>
      </c>
    </row>
    <row customHeight="1" ht="11.25">
      <c r="A36" s="0" t="s">
        <v>14</v>
      </c>
      <c r="B36" s="0" t="s">
        <v>3166</v>
      </c>
      <c r="C36" s="0" t="s">
        <v>3167</v>
      </c>
      <c r="D36" s="0" t="s">
        <v>3184</v>
      </c>
      <c r="E36" s="0" t="s">
        <v>3185</v>
      </c>
      <c r="F36" s="0" t="s">
        <v>3130</v>
      </c>
      <c r="G36" s="0" t="s">
        <v>992</v>
      </c>
    </row>
    <row customHeight="1" ht="11.25">
      <c r="A37" s="0" t="s">
        <v>14</v>
      </c>
      <c r="B37" s="0" t="s">
        <v>3166</v>
      </c>
      <c r="C37" s="0" t="s">
        <v>3167</v>
      </c>
      <c r="D37" s="0" t="s">
        <v>3186</v>
      </c>
      <c r="E37" s="0" t="s">
        <v>3187</v>
      </c>
      <c r="F37" s="0" t="s">
        <v>3130</v>
      </c>
      <c r="G37" s="0" t="s">
        <v>997</v>
      </c>
    </row>
    <row customHeight="1" ht="11.25">
      <c r="A38" s="0" t="s">
        <v>14</v>
      </c>
      <c r="B38" s="0" t="s">
        <v>3188</v>
      </c>
      <c r="C38" s="0" t="s">
        <v>3189</v>
      </c>
      <c r="D38" s="0" t="s">
        <v>3188</v>
      </c>
      <c r="E38" s="0" t="s">
        <v>3189</v>
      </c>
      <c r="F38" s="0" t="s">
        <v>3112</v>
      </c>
      <c r="G38" s="0" t="s">
        <v>1005</v>
      </c>
    </row>
    <row customHeight="1" ht="11.25">
      <c r="A39" s="0" t="s">
        <v>14</v>
      </c>
      <c r="B39" s="0" t="s">
        <v>3190</v>
      </c>
      <c r="C39" s="0" t="s">
        <v>3191</v>
      </c>
      <c r="D39" s="0" t="s">
        <v>3190</v>
      </c>
      <c r="E39" s="0" t="s">
        <v>3191</v>
      </c>
      <c r="F39" s="0" t="s">
        <v>3115</v>
      </c>
      <c r="G39" s="0" t="s">
        <v>1012</v>
      </c>
    </row>
    <row customHeight="1" ht="11.25">
      <c r="A40" s="0" t="s">
        <v>14</v>
      </c>
      <c r="B40" s="0" t="s">
        <v>3192</v>
      </c>
      <c r="C40" s="0" t="s">
        <v>3193</v>
      </c>
      <c r="D40" s="0" t="s">
        <v>3194</v>
      </c>
      <c r="E40" s="0" t="s">
        <v>3195</v>
      </c>
      <c r="F40" s="0" t="s">
        <v>3130</v>
      </c>
      <c r="G40" s="0" t="s">
        <v>1019</v>
      </c>
    </row>
    <row customHeight="1" ht="11.25">
      <c r="A41" s="0" t="s">
        <v>14</v>
      </c>
      <c r="B41" s="0" t="s">
        <v>3192</v>
      </c>
      <c r="C41" s="0" t="s">
        <v>3193</v>
      </c>
      <c r="D41" s="0" t="s">
        <v>3196</v>
      </c>
      <c r="E41" s="0" t="s">
        <v>3197</v>
      </c>
      <c r="F41" s="0" t="s">
        <v>3130</v>
      </c>
      <c r="G41" s="0" t="s">
        <v>1025</v>
      </c>
    </row>
    <row customHeight="1" ht="11.25">
      <c r="A42" s="0" t="s">
        <v>14</v>
      </c>
      <c r="B42" s="0" t="s">
        <v>3192</v>
      </c>
      <c r="C42" s="0" t="s">
        <v>3193</v>
      </c>
      <c r="D42" s="0" t="s">
        <v>3198</v>
      </c>
      <c r="E42" s="0" t="s">
        <v>3199</v>
      </c>
      <c r="F42" s="0" t="s">
        <v>3130</v>
      </c>
      <c r="G42" s="0" t="s">
        <v>1030</v>
      </c>
    </row>
    <row customHeight="1" ht="11.25">
      <c r="A43" s="0" t="s">
        <v>14</v>
      </c>
      <c r="B43" s="0" t="s">
        <v>3192</v>
      </c>
      <c r="C43" s="0" t="s">
        <v>3193</v>
      </c>
      <c r="D43" s="0" t="s">
        <v>3192</v>
      </c>
      <c r="E43" s="0" t="s">
        <v>3193</v>
      </c>
      <c r="F43" s="0" t="s">
        <v>3131</v>
      </c>
      <c r="G43" s="0" t="s">
        <v>1037</v>
      </c>
    </row>
    <row customHeight="1" ht="11.25">
      <c r="A44" s="0" t="s">
        <v>14</v>
      </c>
      <c r="B44" s="0" t="s">
        <v>3192</v>
      </c>
      <c r="C44" s="0" t="s">
        <v>3193</v>
      </c>
      <c r="D44" s="0" t="s">
        <v>3200</v>
      </c>
      <c r="E44" s="0" t="s">
        <v>3201</v>
      </c>
      <c r="F44" s="0" t="s">
        <v>3130</v>
      </c>
      <c r="G44" s="0" t="s">
        <v>1046</v>
      </c>
    </row>
    <row customHeight="1" ht="11.25">
      <c r="A45" s="0" t="s">
        <v>14</v>
      </c>
      <c r="B45" s="0" t="s">
        <v>3192</v>
      </c>
      <c r="C45" s="0" t="s">
        <v>3193</v>
      </c>
      <c r="D45" s="0" t="s">
        <v>3202</v>
      </c>
      <c r="E45" s="0" t="s">
        <v>3203</v>
      </c>
      <c r="F45" s="0" t="s">
        <v>3153</v>
      </c>
      <c r="G45" s="0" t="s">
        <v>1051</v>
      </c>
    </row>
    <row customHeight="1" ht="11.25">
      <c r="A46" s="0" t="s">
        <v>14</v>
      </c>
      <c r="B46" s="0" t="s">
        <v>3192</v>
      </c>
      <c r="C46" s="0" t="s">
        <v>3193</v>
      </c>
      <c r="D46" s="0" t="s">
        <v>3204</v>
      </c>
      <c r="E46" s="0" t="s">
        <v>3205</v>
      </c>
      <c r="F46" s="0" t="s">
        <v>3130</v>
      </c>
      <c r="G46" s="0" t="s">
        <v>1056</v>
      </c>
    </row>
    <row customHeight="1" ht="11.25">
      <c r="A47" s="0" t="s">
        <v>14</v>
      </c>
      <c r="B47" s="0" t="s">
        <v>3192</v>
      </c>
      <c r="C47" s="0" t="s">
        <v>3193</v>
      </c>
      <c r="D47" s="0" t="s">
        <v>3206</v>
      </c>
      <c r="E47" s="0" t="s">
        <v>3207</v>
      </c>
      <c r="F47" s="0" t="s">
        <v>3130</v>
      </c>
      <c r="G47" s="0" t="s">
        <v>1062</v>
      </c>
    </row>
    <row customHeight="1" ht="11.25">
      <c r="A48" s="0" t="s">
        <v>14</v>
      </c>
      <c r="B48" s="0" t="s">
        <v>3208</v>
      </c>
      <c r="C48" s="0" t="s">
        <v>3209</v>
      </c>
      <c r="D48" s="0" t="s">
        <v>3208</v>
      </c>
      <c r="E48" s="0" t="s">
        <v>3209</v>
      </c>
      <c r="F48" s="0" t="s">
        <v>3131</v>
      </c>
      <c r="G48" s="0" t="s">
        <v>1068</v>
      </c>
    </row>
    <row customHeight="1" ht="11.25">
      <c r="A49" s="0" t="s">
        <v>14</v>
      </c>
      <c r="B49" s="0" t="s">
        <v>3208</v>
      </c>
      <c r="C49" s="0" t="s">
        <v>3209</v>
      </c>
      <c r="D49" s="0" t="s">
        <v>3210</v>
      </c>
      <c r="E49" s="0" t="s">
        <v>3211</v>
      </c>
      <c r="F49" s="0" t="s">
        <v>3130</v>
      </c>
      <c r="G49" s="0" t="s">
        <v>1074</v>
      </c>
    </row>
    <row customHeight="1" ht="11.25">
      <c r="A50" s="0" t="s">
        <v>14</v>
      </c>
      <c r="B50" s="0" t="s">
        <v>3208</v>
      </c>
      <c r="C50" s="0" t="s">
        <v>3209</v>
      </c>
      <c r="D50" s="0" t="s">
        <v>3212</v>
      </c>
      <c r="E50" s="0" t="s">
        <v>3213</v>
      </c>
      <c r="F50" s="0" t="s">
        <v>3130</v>
      </c>
      <c r="G50" s="0" t="s">
        <v>1079</v>
      </c>
    </row>
    <row customHeight="1" ht="11.25">
      <c r="A51" s="0" t="s">
        <v>14</v>
      </c>
      <c r="B51" s="0" t="s">
        <v>3208</v>
      </c>
      <c r="C51" s="0" t="s">
        <v>3209</v>
      </c>
      <c r="D51" s="0" t="s">
        <v>3214</v>
      </c>
      <c r="E51" s="0" t="s">
        <v>3215</v>
      </c>
      <c r="F51" s="0" t="s">
        <v>3130</v>
      </c>
      <c r="G51" s="0" t="s">
        <v>1084</v>
      </c>
    </row>
    <row customHeight="1" ht="11.25">
      <c r="A52" s="0" t="s">
        <v>14</v>
      </c>
      <c r="B52" s="0" t="s">
        <v>3216</v>
      </c>
      <c r="C52" s="0" t="s">
        <v>3217</v>
      </c>
      <c r="D52" s="0" t="s">
        <v>3216</v>
      </c>
      <c r="E52" s="0" t="s">
        <v>3217</v>
      </c>
      <c r="F52" s="0" t="s">
        <v>3115</v>
      </c>
      <c r="G52" s="0" t="s">
        <v>1088</v>
      </c>
    </row>
    <row customHeight="1" ht="11.25">
      <c r="A53" s="0" t="s">
        <v>14</v>
      </c>
      <c r="B53" s="0" t="s">
        <v>3218</v>
      </c>
      <c r="C53" s="0" t="s">
        <v>3219</v>
      </c>
      <c r="D53" s="0" t="s">
        <v>3218</v>
      </c>
      <c r="E53" s="0" t="s">
        <v>3219</v>
      </c>
      <c r="F53" s="0" t="s">
        <v>3112</v>
      </c>
      <c r="G53" s="0" t="s">
        <v>1090</v>
      </c>
    </row>
    <row customHeight="1" ht="11.25">
      <c r="A54" s="0" t="s">
        <v>14</v>
      </c>
      <c r="B54" s="0" t="s">
        <v>3220</v>
      </c>
      <c r="C54" s="0" t="s">
        <v>3221</v>
      </c>
      <c r="D54" s="0" t="s">
        <v>3220</v>
      </c>
      <c r="E54" s="0" t="s">
        <v>3221</v>
      </c>
      <c r="F54" s="0" t="s">
        <v>3112</v>
      </c>
      <c r="G54" s="0" t="s">
        <v>1093</v>
      </c>
    </row>
    <row customHeight="1" ht="11.25">
      <c r="A55" s="0" t="s">
        <v>14</v>
      </c>
      <c r="B55" s="0" t="s">
        <v>3222</v>
      </c>
      <c r="C55" s="0" t="s">
        <v>3223</v>
      </c>
      <c r="D55" s="0" t="s">
        <v>3222</v>
      </c>
      <c r="E55" s="0" t="s">
        <v>3223</v>
      </c>
      <c r="F55" s="0" t="s">
        <v>3115</v>
      </c>
      <c r="G55" s="0" t="s">
        <v>1097</v>
      </c>
    </row>
    <row customHeight="1" ht="11.25">
      <c r="A56" s="0" t="s">
        <v>14</v>
      </c>
      <c r="B56" s="0" t="s">
        <v>3224</v>
      </c>
      <c r="C56" s="0" t="s">
        <v>3225</v>
      </c>
      <c r="D56" s="0" t="s">
        <v>3224</v>
      </c>
      <c r="E56" s="0" t="s">
        <v>3225</v>
      </c>
      <c r="F56" s="0" t="s">
        <v>3112</v>
      </c>
      <c r="G56" s="0" t="s">
        <v>1100</v>
      </c>
    </row>
    <row customHeight="1" ht="11.25">
      <c r="A57" s="0" t="s">
        <v>14</v>
      </c>
      <c r="B57" s="0" t="s">
        <v>3226</v>
      </c>
      <c r="C57" s="0" t="s">
        <v>3227</v>
      </c>
      <c r="D57" s="0" t="s">
        <v>3228</v>
      </c>
      <c r="E57" s="0" t="s">
        <v>3229</v>
      </c>
      <c r="F57" s="0" t="s">
        <v>3130</v>
      </c>
      <c r="G57" s="0" t="s">
        <v>1103</v>
      </c>
    </row>
    <row customHeight="1" ht="11.25">
      <c r="A58" s="0" t="s">
        <v>14</v>
      </c>
      <c r="B58" s="0" t="s">
        <v>3226</v>
      </c>
      <c r="C58" s="0" t="s">
        <v>3227</v>
      </c>
      <c r="D58" s="0" t="s">
        <v>3230</v>
      </c>
      <c r="E58" s="0" t="s">
        <v>3231</v>
      </c>
      <c r="F58" s="0" t="s">
        <v>3130</v>
      </c>
      <c r="G58" s="0" t="s">
        <v>1106</v>
      </c>
    </row>
    <row customHeight="1" ht="11.25">
      <c r="A59" s="0" t="s">
        <v>14</v>
      </c>
      <c r="B59" s="0" t="s">
        <v>3226</v>
      </c>
      <c r="C59" s="0" t="s">
        <v>3227</v>
      </c>
      <c r="D59" s="0" t="s">
        <v>3232</v>
      </c>
      <c r="E59" s="0" t="s">
        <v>3233</v>
      </c>
      <c r="F59" s="0" t="s">
        <v>3130</v>
      </c>
      <c r="G59" s="0" t="s">
        <v>1110</v>
      </c>
    </row>
    <row customHeight="1" ht="11.25">
      <c r="A60" s="0" t="s">
        <v>14</v>
      </c>
      <c r="B60" s="0" t="s">
        <v>3226</v>
      </c>
      <c r="C60" s="0" t="s">
        <v>3227</v>
      </c>
      <c r="D60" s="0" t="s">
        <v>3234</v>
      </c>
      <c r="E60" s="0" t="s">
        <v>3235</v>
      </c>
      <c r="F60" s="0" t="s">
        <v>3136</v>
      </c>
      <c r="G60" s="0" t="s">
        <v>1113</v>
      </c>
    </row>
    <row customHeight="1" ht="11.25">
      <c r="A61" s="0" t="s">
        <v>14</v>
      </c>
      <c r="B61" s="0" t="s">
        <v>3226</v>
      </c>
      <c r="C61" s="0" t="s">
        <v>3227</v>
      </c>
      <c r="D61" s="0" t="s">
        <v>3236</v>
      </c>
      <c r="E61" s="0" t="s">
        <v>3237</v>
      </c>
      <c r="F61" s="0" t="s">
        <v>3130</v>
      </c>
      <c r="G61" s="0" t="s">
        <v>3238</v>
      </c>
    </row>
    <row customHeight="1" ht="11.25">
      <c r="A62" s="0" t="s">
        <v>14</v>
      </c>
      <c r="B62" s="0" t="s">
        <v>3226</v>
      </c>
      <c r="C62" s="0" t="s">
        <v>3227</v>
      </c>
      <c r="D62" s="0" t="s">
        <v>3239</v>
      </c>
      <c r="E62" s="0" t="s">
        <v>3240</v>
      </c>
      <c r="F62" s="0" t="s">
        <v>3130</v>
      </c>
      <c r="G62" s="0" t="s">
        <v>3241</v>
      </c>
    </row>
    <row customHeight="1" ht="11.25">
      <c r="A63" s="0" t="s">
        <v>14</v>
      </c>
      <c r="B63" s="0" t="s">
        <v>3226</v>
      </c>
      <c r="C63" s="0" t="s">
        <v>3227</v>
      </c>
      <c r="D63" s="0" t="s">
        <v>3226</v>
      </c>
      <c r="E63" s="0" t="s">
        <v>3227</v>
      </c>
      <c r="F63" s="0" t="s">
        <v>3131</v>
      </c>
      <c r="G63" s="0" t="s">
        <v>3242</v>
      </c>
    </row>
    <row customHeight="1" ht="11.25">
      <c r="A64" s="0" t="s">
        <v>14</v>
      </c>
      <c r="B64" s="0" t="s">
        <v>3226</v>
      </c>
      <c r="C64" s="0" t="s">
        <v>3227</v>
      </c>
      <c r="D64" s="0" t="s">
        <v>3243</v>
      </c>
      <c r="E64" s="0" t="s">
        <v>3244</v>
      </c>
      <c r="F64" s="0" t="s">
        <v>3130</v>
      </c>
      <c r="G64" s="0" t="s">
        <v>3245</v>
      </c>
    </row>
    <row customHeight="1" ht="11.25">
      <c r="A65" s="0" t="s">
        <v>14</v>
      </c>
      <c r="B65" s="0" t="s">
        <v>3246</v>
      </c>
      <c r="C65" s="0" t="s">
        <v>3247</v>
      </c>
      <c r="D65" s="0" t="s">
        <v>3246</v>
      </c>
      <c r="E65" s="0" t="s">
        <v>3247</v>
      </c>
      <c r="F65" s="0" t="s">
        <v>3112</v>
      </c>
      <c r="G65" s="0" t="s">
        <v>3248</v>
      </c>
    </row>
    <row customHeight="1" ht="11.25">
      <c r="A66" s="0" t="s">
        <v>14</v>
      </c>
      <c r="B66" s="0" t="s">
        <v>3249</v>
      </c>
      <c r="C66" s="0" t="s">
        <v>3250</v>
      </c>
      <c r="D66" s="0" t="s">
        <v>3249</v>
      </c>
      <c r="E66" s="0" t="s">
        <v>3250</v>
      </c>
      <c r="F66" s="0" t="s">
        <v>3112</v>
      </c>
      <c r="G66" s="0" t="s">
        <v>3251</v>
      </c>
    </row>
    <row customHeight="1" ht="11.25">
      <c r="A67" s="0" t="s">
        <v>14</v>
      </c>
      <c r="B67" s="0" t="s">
        <v>3252</v>
      </c>
      <c r="C67" s="0" t="s">
        <v>3253</v>
      </c>
      <c r="D67" s="0" t="s">
        <v>3254</v>
      </c>
      <c r="E67" s="0" t="s">
        <v>3255</v>
      </c>
      <c r="F67" s="0" t="s">
        <v>3130</v>
      </c>
      <c r="G67" s="0" t="s">
        <v>1330</v>
      </c>
    </row>
    <row customHeight="1" ht="11.25">
      <c r="A68" s="0" t="s">
        <v>14</v>
      </c>
      <c r="B68" s="0" t="s">
        <v>3252</v>
      </c>
      <c r="C68" s="0" t="s">
        <v>3253</v>
      </c>
      <c r="D68" s="0" t="s">
        <v>3256</v>
      </c>
      <c r="E68" s="0" t="s">
        <v>3257</v>
      </c>
      <c r="F68" s="0" t="s">
        <v>3130</v>
      </c>
      <c r="G68" s="0" t="s">
        <v>3258</v>
      </c>
    </row>
    <row customHeight="1" ht="11.25">
      <c r="A69" s="0" t="s">
        <v>14</v>
      </c>
      <c r="B69" s="0" t="s">
        <v>3252</v>
      </c>
      <c r="C69" s="0" t="s">
        <v>3253</v>
      </c>
      <c r="D69" s="0" t="s">
        <v>3259</v>
      </c>
      <c r="E69" s="0" t="s">
        <v>3260</v>
      </c>
      <c r="F69" s="0" t="s">
        <v>3130</v>
      </c>
      <c r="G69" s="0" t="s">
        <v>1567</v>
      </c>
    </row>
    <row customHeight="1" ht="11.25">
      <c r="A70" s="0" t="s">
        <v>14</v>
      </c>
      <c r="B70" s="0" t="s">
        <v>3252</v>
      </c>
      <c r="C70" s="0" t="s">
        <v>3253</v>
      </c>
      <c r="D70" s="0" t="s">
        <v>3261</v>
      </c>
      <c r="E70" s="0" t="s">
        <v>3262</v>
      </c>
      <c r="F70" s="0" t="s">
        <v>3130</v>
      </c>
      <c r="G70" s="0" t="s">
        <v>3263</v>
      </c>
    </row>
    <row customHeight="1" ht="11.25">
      <c r="A71" s="0" t="s">
        <v>14</v>
      </c>
      <c r="B71" s="0" t="s">
        <v>3252</v>
      </c>
      <c r="C71" s="0" t="s">
        <v>3253</v>
      </c>
      <c r="D71" s="0" t="s">
        <v>3264</v>
      </c>
      <c r="E71" s="0" t="s">
        <v>3265</v>
      </c>
      <c r="F71" s="0" t="s">
        <v>3130</v>
      </c>
      <c r="G71" s="0" t="s">
        <v>3266</v>
      </c>
    </row>
    <row customHeight="1" ht="11.25">
      <c r="A72" s="0" t="s">
        <v>14</v>
      </c>
      <c r="B72" s="0" t="s">
        <v>3252</v>
      </c>
      <c r="C72" s="0" t="s">
        <v>3253</v>
      </c>
      <c r="D72" s="0" t="s">
        <v>3252</v>
      </c>
      <c r="E72" s="0" t="s">
        <v>3253</v>
      </c>
      <c r="F72" s="0" t="s">
        <v>3131</v>
      </c>
      <c r="G72" s="0" t="s">
        <v>3267</v>
      </c>
    </row>
    <row customHeight="1" ht="11.25">
      <c r="A73" s="0" t="s">
        <v>14</v>
      </c>
      <c r="B73" s="0" t="s">
        <v>3252</v>
      </c>
      <c r="C73" s="0" t="s">
        <v>3253</v>
      </c>
      <c r="D73" s="0" t="s">
        <v>3268</v>
      </c>
      <c r="E73" s="0" t="s">
        <v>3269</v>
      </c>
      <c r="F73" s="0" t="s">
        <v>3130</v>
      </c>
      <c r="G73" s="0" t="s">
        <v>3270</v>
      </c>
    </row>
    <row customHeight="1" ht="11.25">
      <c r="A74" s="0" t="s">
        <v>14</v>
      </c>
      <c r="B74" s="0" t="s">
        <v>3252</v>
      </c>
      <c r="C74" s="0" t="s">
        <v>3253</v>
      </c>
      <c r="D74" s="0" t="s">
        <v>3271</v>
      </c>
      <c r="E74" s="0" t="s">
        <v>3272</v>
      </c>
      <c r="F74" s="0" t="s">
        <v>3130</v>
      </c>
      <c r="G74" s="0" t="s">
        <v>3273</v>
      </c>
    </row>
    <row customHeight="1" ht="11.25">
      <c r="A75" s="0" t="s">
        <v>14</v>
      </c>
      <c r="B75" s="0" t="s">
        <v>3252</v>
      </c>
      <c r="C75" s="0" t="s">
        <v>3253</v>
      </c>
      <c r="D75" s="0" t="s">
        <v>3274</v>
      </c>
      <c r="E75" s="0" t="s">
        <v>3275</v>
      </c>
      <c r="F75" s="0" t="s">
        <v>3130</v>
      </c>
      <c r="G75" s="0" t="s">
        <v>3276</v>
      </c>
    </row>
    <row customHeight="1" ht="11.25">
      <c r="A76" s="0" t="s">
        <v>14</v>
      </c>
      <c r="B76" s="0" t="s">
        <v>3277</v>
      </c>
      <c r="C76" s="0" t="s">
        <v>3278</v>
      </c>
      <c r="D76" s="0" t="s">
        <v>3277</v>
      </c>
      <c r="E76" s="0" t="s">
        <v>3278</v>
      </c>
      <c r="F76" s="0" t="s">
        <v>3112</v>
      </c>
      <c r="G76" s="0" t="s">
        <v>3279</v>
      </c>
    </row>
    <row customHeight="1" ht="11.25">
      <c r="A77" s="0" t="s">
        <v>14</v>
      </c>
      <c r="B77" s="0" t="s">
        <v>100</v>
      </c>
      <c r="C77" s="0" t="s">
        <v>101</v>
      </c>
      <c r="D77" s="0" t="s">
        <v>100</v>
      </c>
      <c r="E77" s="0" t="s">
        <v>101</v>
      </c>
      <c r="F77" s="0" t="s">
        <v>3115</v>
      </c>
      <c r="G77" s="0" t="s">
        <v>99</v>
      </c>
    </row>
    <row customHeight="1" ht="11.25">
      <c r="A78" s="0" t="s">
        <v>14</v>
      </c>
      <c r="B78" s="0" t="s">
        <v>3280</v>
      </c>
      <c r="C78" s="0" t="s">
        <v>3281</v>
      </c>
      <c r="D78" s="0" t="s">
        <v>3280</v>
      </c>
      <c r="E78" s="0" t="s">
        <v>3281</v>
      </c>
      <c r="F78" s="0" t="s">
        <v>3112</v>
      </c>
      <c r="G78" s="0" t="s">
        <v>3282</v>
      </c>
    </row>
    <row customHeight="1" ht="11.25">
      <c r="A79" s="0" t="s">
        <v>14</v>
      </c>
      <c r="B79" s="0" t="s">
        <v>3283</v>
      </c>
      <c r="C79" s="0" t="s">
        <v>3284</v>
      </c>
      <c r="D79" s="0" t="s">
        <v>3283</v>
      </c>
      <c r="E79" s="0" t="s">
        <v>3284</v>
      </c>
      <c r="F79" s="0" t="s">
        <v>3112</v>
      </c>
      <c r="G79" s="0" t="s">
        <v>3285</v>
      </c>
    </row>
    <row customHeight="1" ht="11.25">
      <c r="A80" s="0" t="s">
        <v>14</v>
      </c>
      <c r="B80" s="0" t="s">
        <v>3286</v>
      </c>
      <c r="C80" s="0" t="s">
        <v>3287</v>
      </c>
      <c r="D80" s="0" t="s">
        <v>3286</v>
      </c>
      <c r="E80" s="0" t="s">
        <v>3287</v>
      </c>
      <c r="F80" s="0" t="s">
        <v>3112</v>
      </c>
      <c r="G80" s="0" t="s">
        <v>3288</v>
      </c>
    </row>
    <row customHeight="1" ht="11.25">
      <c r="A81" s="0" t="s">
        <v>14</v>
      </c>
      <c r="B81" s="0" t="s">
        <v>3289</v>
      </c>
      <c r="C81" s="0" t="s">
        <v>3290</v>
      </c>
      <c r="D81" s="0" t="s">
        <v>3289</v>
      </c>
      <c r="E81" s="0" t="s">
        <v>3290</v>
      </c>
      <c r="F81" s="0" t="s">
        <v>3112</v>
      </c>
      <c r="G81" s="0" t="s">
        <v>3291</v>
      </c>
    </row>
    <row customHeight="1" ht="11.25">
      <c r="A82" s="0" t="s">
        <v>14</v>
      </c>
      <c r="B82" s="0" t="s">
        <v>3292</v>
      </c>
      <c r="C82" s="0" t="s">
        <v>3293</v>
      </c>
      <c r="D82" s="0" t="s">
        <v>3294</v>
      </c>
      <c r="E82" s="0" t="s">
        <v>3295</v>
      </c>
      <c r="F82" s="0" t="s">
        <v>3130</v>
      </c>
      <c r="G82" s="0" t="s">
        <v>3296</v>
      </c>
    </row>
    <row customHeight="1" ht="11.25">
      <c r="A83" s="0" t="s">
        <v>14</v>
      </c>
      <c r="B83" s="0" t="s">
        <v>3292</v>
      </c>
      <c r="C83" s="0" t="s">
        <v>3293</v>
      </c>
      <c r="D83" s="0" t="s">
        <v>3297</v>
      </c>
      <c r="E83" s="0" t="s">
        <v>3298</v>
      </c>
      <c r="F83" s="0" t="s">
        <v>3136</v>
      </c>
      <c r="G83" s="0" t="s">
        <v>3299</v>
      </c>
    </row>
    <row customHeight="1" ht="11.25">
      <c r="A84" s="0" t="s">
        <v>14</v>
      </c>
      <c r="B84" s="0" t="s">
        <v>3292</v>
      </c>
      <c r="C84" s="0" t="s">
        <v>3293</v>
      </c>
      <c r="D84" s="0" t="s">
        <v>3300</v>
      </c>
      <c r="E84" s="0" t="s">
        <v>3301</v>
      </c>
      <c r="F84" s="0" t="s">
        <v>3130</v>
      </c>
      <c r="G84" s="0" t="s">
        <v>3302</v>
      </c>
    </row>
    <row customHeight="1" ht="11.25">
      <c r="A85" s="0" t="s">
        <v>14</v>
      </c>
      <c r="B85" s="0" t="s">
        <v>3292</v>
      </c>
      <c r="C85" s="0" t="s">
        <v>3293</v>
      </c>
      <c r="D85" s="0" t="s">
        <v>3303</v>
      </c>
      <c r="E85" s="0" t="s">
        <v>3304</v>
      </c>
      <c r="F85" s="0" t="s">
        <v>3153</v>
      </c>
      <c r="G85" s="0" t="s">
        <v>3305</v>
      </c>
    </row>
    <row customHeight="1" ht="11.25">
      <c r="A86" s="0" t="s">
        <v>14</v>
      </c>
      <c r="B86" s="0" t="s">
        <v>3292</v>
      </c>
      <c r="C86" s="0" t="s">
        <v>3293</v>
      </c>
      <c r="D86" s="0" t="s">
        <v>3306</v>
      </c>
      <c r="E86" s="0" t="s">
        <v>3307</v>
      </c>
      <c r="F86" s="0" t="s">
        <v>3130</v>
      </c>
      <c r="G86" s="0" t="s">
        <v>3308</v>
      </c>
    </row>
    <row customHeight="1" ht="11.25">
      <c r="A87" s="0" t="s">
        <v>14</v>
      </c>
      <c r="B87" s="0" t="s">
        <v>3292</v>
      </c>
      <c r="C87" s="0" t="s">
        <v>3293</v>
      </c>
      <c r="D87" s="0" t="s">
        <v>3292</v>
      </c>
      <c r="E87" s="0" t="s">
        <v>3293</v>
      </c>
      <c r="F87" s="0" t="s">
        <v>3131</v>
      </c>
      <c r="G87" s="0" t="s">
        <v>3309</v>
      </c>
    </row>
    <row customHeight="1" ht="11.25">
      <c r="A88" s="0" t="s">
        <v>14</v>
      </c>
      <c r="B88" s="0" t="s">
        <v>3292</v>
      </c>
      <c r="C88" s="0" t="s">
        <v>3293</v>
      </c>
      <c r="D88" s="0" t="s">
        <v>3310</v>
      </c>
      <c r="E88" s="0" t="s">
        <v>3311</v>
      </c>
      <c r="F88" s="0" t="s">
        <v>3130</v>
      </c>
      <c r="G88" s="0" t="s">
        <v>3312</v>
      </c>
    </row>
    <row customHeight="1" ht="11.25">
      <c r="A89" s="0" t="s">
        <v>14</v>
      </c>
      <c r="B89" s="0" t="s">
        <v>3313</v>
      </c>
      <c r="C89" s="0" t="s">
        <v>3314</v>
      </c>
      <c r="D89" s="0" t="s">
        <v>3313</v>
      </c>
      <c r="E89" s="0" t="s">
        <v>3314</v>
      </c>
      <c r="F89" s="0" t="s">
        <v>3112</v>
      </c>
      <c r="G89" s="0" t="s">
        <v>3315</v>
      </c>
    </row>
    <row customHeight="1" ht="11.25">
      <c r="A90" s="0" t="s">
        <v>14</v>
      </c>
      <c r="B90" s="0" t="s">
        <v>3316</v>
      </c>
      <c r="C90" s="0" t="s">
        <v>3317</v>
      </c>
      <c r="D90" s="0" t="s">
        <v>3316</v>
      </c>
      <c r="E90" s="0" t="s">
        <v>3317</v>
      </c>
      <c r="F90" s="0" t="s">
        <v>3112</v>
      </c>
      <c r="G90" s="0" t="s">
        <v>3318</v>
      </c>
    </row>
    <row customHeight="1" ht="11.25">
      <c r="A91" s="0" t="s">
        <v>14</v>
      </c>
      <c r="B91" s="0" t="s">
        <v>3319</v>
      </c>
      <c r="C91" s="0" t="s">
        <v>3320</v>
      </c>
      <c r="D91" s="0" t="s">
        <v>3321</v>
      </c>
      <c r="E91" s="0" t="s">
        <v>3322</v>
      </c>
      <c r="F91" s="0" t="s">
        <v>3130</v>
      </c>
      <c r="G91" s="0" t="s">
        <v>3323</v>
      </c>
    </row>
    <row customHeight="1" ht="11.25">
      <c r="A92" s="0" t="s">
        <v>14</v>
      </c>
      <c r="B92" s="0" t="s">
        <v>3319</v>
      </c>
      <c r="C92" s="0" t="s">
        <v>3320</v>
      </c>
      <c r="D92" s="0" t="s">
        <v>3324</v>
      </c>
      <c r="E92" s="0" t="s">
        <v>3325</v>
      </c>
      <c r="F92" s="0" t="s">
        <v>3130</v>
      </c>
      <c r="G92" s="0" t="s">
        <v>3326</v>
      </c>
    </row>
    <row customHeight="1" ht="11.25">
      <c r="A93" s="0" t="s">
        <v>14</v>
      </c>
      <c r="B93" s="0" t="s">
        <v>3319</v>
      </c>
      <c r="C93" s="0" t="s">
        <v>3320</v>
      </c>
      <c r="D93" s="0" t="s">
        <v>3327</v>
      </c>
      <c r="E93" s="0" t="s">
        <v>3328</v>
      </c>
      <c r="F93" s="0" t="s">
        <v>3130</v>
      </c>
      <c r="G93" s="0" t="s">
        <v>3329</v>
      </c>
    </row>
    <row customHeight="1" ht="11.25">
      <c r="A94" s="0" t="s">
        <v>14</v>
      </c>
      <c r="B94" s="0" t="s">
        <v>3319</v>
      </c>
      <c r="C94" s="0" t="s">
        <v>3320</v>
      </c>
      <c r="D94" s="0" t="s">
        <v>3330</v>
      </c>
      <c r="E94" s="0" t="s">
        <v>3331</v>
      </c>
      <c r="F94" s="0" t="s">
        <v>3153</v>
      </c>
      <c r="G94" s="0" t="s">
        <v>3332</v>
      </c>
    </row>
    <row customHeight="1" ht="11.25">
      <c r="A95" s="0" t="s">
        <v>14</v>
      </c>
      <c r="B95" s="0" t="s">
        <v>3319</v>
      </c>
      <c r="C95" s="0" t="s">
        <v>3320</v>
      </c>
      <c r="D95" s="0" t="s">
        <v>3333</v>
      </c>
      <c r="E95" s="0" t="s">
        <v>3334</v>
      </c>
      <c r="F95" s="0" t="s">
        <v>3130</v>
      </c>
      <c r="G95" s="0" t="s">
        <v>3335</v>
      </c>
    </row>
    <row customHeight="1" ht="11.25">
      <c r="A96" s="0" t="s">
        <v>14</v>
      </c>
      <c r="B96" s="0" t="s">
        <v>3319</v>
      </c>
      <c r="C96" s="0" t="s">
        <v>3320</v>
      </c>
      <c r="D96" s="0" t="s">
        <v>3319</v>
      </c>
      <c r="E96" s="0" t="s">
        <v>3320</v>
      </c>
      <c r="F96" s="0" t="s">
        <v>3131</v>
      </c>
      <c r="G96" s="0" t="s">
        <v>3336</v>
      </c>
    </row>
    <row customHeight="1" ht="11.25">
      <c r="A97" s="0" t="s">
        <v>14</v>
      </c>
      <c r="B97" s="0" t="s">
        <v>3319</v>
      </c>
      <c r="C97" s="0" t="s">
        <v>3320</v>
      </c>
      <c r="D97" s="0" t="s">
        <v>3337</v>
      </c>
      <c r="E97" s="0" t="s">
        <v>3338</v>
      </c>
      <c r="F97" s="0" t="s">
        <v>3153</v>
      </c>
      <c r="G97" s="0" t="s">
        <v>3339</v>
      </c>
    </row>
    <row customHeight="1" ht="11.25">
      <c r="A98" s="0" t="s">
        <v>14</v>
      </c>
      <c r="B98" s="0" t="s">
        <v>3319</v>
      </c>
      <c r="C98" s="0" t="s">
        <v>3320</v>
      </c>
      <c r="D98" s="0" t="s">
        <v>3340</v>
      </c>
      <c r="E98" s="0" t="s">
        <v>3341</v>
      </c>
      <c r="F98" s="0" t="s">
        <v>3130</v>
      </c>
      <c r="G98" s="0" t="s">
        <v>3342</v>
      </c>
    </row>
    <row customHeight="1" ht="11.25">
      <c r="A99" s="0" t="s">
        <v>14</v>
      </c>
      <c r="B99" s="0" t="s">
        <v>3343</v>
      </c>
      <c r="C99" s="0" t="s">
        <v>3344</v>
      </c>
      <c r="D99" s="0" t="s">
        <v>3343</v>
      </c>
      <c r="E99" s="0" t="s">
        <v>3344</v>
      </c>
      <c r="F99" s="0" t="s">
        <v>3112</v>
      </c>
      <c r="G99" s="0" t="s">
        <v>3345</v>
      </c>
    </row>
    <row customHeight="1" ht="11.25">
      <c r="A100" s="0" t="s">
        <v>14</v>
      </c>
      <c r="B100" s="0" t="s">
        <v>3346</v>
      </c>
      <c r="C100" s="0" t="s">
        <v>3347</v>
      </c>
      <c r="D100" s="0" t="s">
        <v>3348</v>
      </c>
      <c r="E100" s="0" t="s">
        <v>3349</v>
      </c>
      <c r="F100" s="0" t="s">
        <v>3130</v>
      </c>
      <c r="G100" s="0" t="s">
        <v>3350</v>
      </c>
    </row>
    <row customHeight="1" ht="11.25">
      <c r="A101" s="0" t="s">
        <v>14</v>
      </c>
      <c r="B101" s="0" t="s">
        <v>3346</v>
      </c>
      <c r="C101" s="0" t="s">
        <v>3347</v>
      </c>
      <c r="D101" s="0" t="s">
        <v>3351</v>
      </c>
      <c r="E101" s="0" t="s">
        <v>3352</v>
      </c>
      <c r="F101" s="0" t="s">
        <v>3130</v>
      </c>
      <c r="G101" s="0" t="s">
        <v>3353</v>
      </c>
    </row>
    <row customHeight="1" ht="11.25">
      <c r="A102" s="0" t="s">
        <v>14</v>
      </c>
      <c r="B102" s="0" t="s">
        <v>3346</v>
      </c>
      <c r="C102" s="0" t="s">
        <v>3347</v>
      </c>
      <c r="D102" s="0" t="s">
        <v>3354</v>
      </c>
      <c r="E102" s="0" t="s">
        <v>3355</v>
      </c>
      <c r="F102" s="0" t="s">
        <v>3130</v>
      </c>
      <c r="G102" s="0" t="s">
        <v>3356</v>
      </c>
    </row>
    <row customHeight="1" ht="11.25">
      <c r="A103" s="0" t="s">
        <v>14</v>
      </c>
      <c r="B103" s="0" t="s">
        <v>3346</v>
      </c>
      <c r="C103" s="0" t="s">
        <v>3347</v>
      </c>
      <c r="D103" s="0" t="s">
        <v>3357</v>
      </c>
      <c r="E103" s="0" t="s">
        <v>3358</v>
      </c>
      <c r="F103" s="0" t="s">
        <v>3130</v>
      </c>
      <c r="G103" s="0" t="s">
        <v>3359</v>
      </c>
    </row>
    <row customHeight="1" ht="11.25">
      <c r="A104" s="0" t="s">
        <v>14</v>
      </c>
      <c r="B104" s="0" t="s">
        <v>3346</v>
      </c>
      <c r="C104" s="0" t="s">
        <v>3347</v>
      </c>
      <c r="D104" s="0" t="s">
        <v>3346</v>
      </c>
      <c r="E104" s="0" t="s">
        <v>3347</v>
      </c>
      <c r="F104" s="0" t="s">
        <v>3131</v>
      </c>
      <c r="G104" s="0" t="s">
        <v>3360</v>
      </c>
    </row>
    <row customHeight="1" ht="11.25">
      <c r="A105" s="0" t="s">
        <v>14</v>
      </c>
      <c r="B105" s="0" t="s">
        <v>3346</v>
      </c>
      <c r="C105" s="0" t="s">
        <v>3347</v>
      </c>
      <c r="D105" s="0" t="s">
        <v>3361</v>
      </c>
      <c r="E105" s="0" t="s">
        <v>3362</v>
      </c>
      <c r="F105" s="0" t="s">
        <v>3130</v>
      </c>
      <c r="G105" s="0" t="s">
        <v>3363</v>
      </c>
    </row>
    <row customHeight="1" ht="11.25">
      <c r="A106" s="0" t="s">
        <v>14</v>
      </c>
      <c r="B106" s="0" t="s">
        <v>3364</v>
      </c>
      <c r="C106" s="0" t="s">
        <v>3365</v>
      </c>
      <c r="D106" s="0" t="s">
        <v>3364</v>
      </c>
      <c r="E106" s="0" t="s">
        <v>3365</v>
      </c>
      <c r="F106" s="0" t="s">
        <v>3115</v>
      </c>
      <c r="G106" s="0" t="s">
        <v>3366</v>
      </c>
    </row>
    <row customHeight="1" ht="11.25">
      <c r="A107" s="0" t="s">
        <v>14</v>
      </c>
      <c r="B107" s="0" t="s">
        <v>3367</v>
      </c>
      <c r="C107" s="0" t="s">
        <v>3368</v>
      </c>
      <c r="D107" s="0" t="s">
        <v>3367</v>
      </c>
      <c r="E107" s="0" t="s">
        <v>3368</v>
      </c>
      <c r="F107" s="0" t="s">
        <v>3115</v>
      </c>
      <c r="G107" s="0" t="s">
        <v>3369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F2B168-1D63-98A2-652F-EDFAB0917F6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130" width="9.140625"/>
    <col min="2" max="2" style="5130" width="84.28125" customWidth="1"/>
    <col min="3" max="3" style="5130" width="9.140625"/>
  </cols>
  <sheetData>
    <row customHeight="1" ht="11.25">
      <c r="A1" s="845" t="s">
        <v>3418</v>
      </c>
      <c r="B1" s="845" t="s">
        <v>3419</v>
      </c>
      <c r="C1" s="845" t="s">
        <v>558</v>
      </c>
    </row>
    <row customHeight="1" ht="11.25">
      <c r="A2" s="845">
        <v>4189678</v>
      </c>
      <c r="B2" s="845" t="s">
        <v>3420</v>
      </c>
      <c r="C2" s="845" t="s">
        <v>3421</v>
      </c>
    </row>
    <row customHeight="1" ht="11.25">
      <c r="A3" s="845">
        <v>4190415</v>
      </c>
      <c r="B3" s="845" t="s">
        <v>3422</v>
      </c>
      <c r="C3" s="845" t="s">
        <v>3421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543625-13C7-5188-88EA-F4045173264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134" width="38.421875" customWidth="1"/>
    <col min="2" max="5" style="5134" width="9.140625"/>
  </cols>
  <sheetData>
    <row customHeight="1" ht="15">
      <c r="A1" s="149" t="s">
        <v>3423</v>
      </c>
      <c r="B1" s="149" t="s">
        <v>3424</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358554-77DB-BCF8-8834-EDFBC20CD9A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3425</v>
      </c>
      <c r="B1" s="0" t="b">
        <v>1</v>
      </c>
    </row>
    <row customHeight="1" ht="11.25">
      <c r="A2" s="0" t="s">
        <v>3426</v>
      </c>
      <c r="B2" s="0" t="b">
        <v>0</v>
      </c>
    </row>
    <row customHeight="1" ht="11.25">
      <c r="A3" s="0" t="s">
        <v>3427</v>
      </c>
      <c r="B3" s="0" t="b">
        <v>0</v>
      </c>
    </row>
    <row customHeight="1" ht="11.25">
      <c r="A4" s="0" t="s">
        <v>3428</v>
      </c>
      <c r="B4" s="0" t="b">
        <v>0</v>
      </c>
    </row>
    <row customHeight="1" ht="11.25">
      <c r="A5" s="0" t="s">
        <v>3429</v>
      </c>
      <c r="B5" s="0" t="b">
        <v>1</v>
      </c>
    </row>
    <row customHeight="1" ht="11.25">
      <c r="A6" s="0" t="s">
        <v>3430</v>
      </c>
      <c r="B6" s="0" t="b">
        <v>0</v>
      </c>
    </row>
    <row customHeight="1" ht="11.25">
      <c r="A7" s="0" t="s">
        <v>3431</v>
      </c>
      <c r="B7" s="0" t="b">
        <v>0</v>
      </c>
    </row>
    <row customHeight="1" ht="11.25">
      <c r="A8" s="0" t="s">
        <v>3432</v>
      </c>
      <c r="B8" s="0" t="b">
        <v>0</v>
      </c>
    </row>
    <row customHeight="1" ht="11.25">
      <c r="A9" s="0" t="s">
        <v>3433</v>
      </c>
      <c r="B9" s="0" t="b">
        <v>0</v>
      </c>
    </row>
    <row customHeight="1" ht="11.25">
      <c r="A10" s="0" t="s">
        <v>3434</v>
      </c>
      <c r="B10" s="0" t="b">
        <v>1</v>
      </c>
    </row>
    <row customHeight="1" ht="11.25">
      <c r="A11" s="0" t="s">
        <v>3435</v>
      </c>
      <c r="B11" s="0" t="b">
        <v>0</v>
      </c>
    </row>
    <row customHeight="1" ht="11.25">
      <c r="A12" s="0" t="s">
        <v>3436</v>
      </c>
      <c r="B12" s="0" t="b">
        <v>0</v>
      </c>
    </row>
    <row customHeight="1" ht="11.25">
      <c r="A13" s="0" t="s">
        <v>3437</v>
      </c>
      <c r="B13" s="0" t="b">
        <v>0</v>
      </c>
    </row>
    <row customHeight="1" ht="11.25">
      <c r="A14" s="0" t="s">
        <v>3438</v>
      </c>
      <c r="B14" s="0" t="b">
        <v>0</v>
      </c>
    </row>
    <row customHeight="1" ht="11.25">
      <c r="A15" s="0" t="s">
        <v>3439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41439B-4BBF-09EF-25AC-623B3430626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136"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03773C-28E1-CAF2-3882-ECEA65B84B8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113" width="36.28125" customWidth="1"/>
    <col min="2" max="2" style="5113" width="21.140625" customWidth="1"/>
  </cols>
  <sheetData>
    <row customHeight="1" ht="11.25">
      <c r="A1" s="52" t="s">
        <v>3440</v>
      </c>
      <c r="B1" s="52" t="s">
        <v>3441</v>
      </c>
    </row>
    <row customHeight="1" ht="11.25">
      <c r="A2" s="48" t="s">
        <v>3442</v>
      </c>
      <c r="B2" s="48" t="s">
        <v>3443</v>
      </c>
    </row>
    <row customHeight="1" ht="11.25">
      <c r="A3" s="48" t="s">
        <v>3444</v>
      </c>
      <c r="B3" s="48" t="s">
        <v>3445</v>
      </c>
    </row>
    <row customHeight="1" ht="11.25">
      <c r="A4" s="48" t="s">
        <v>3446</v>
      </c>
      <c r="B4" s="48" t="s">
        <v>3447</v>
      </c>
    </row>
    <row customHeight="1" ht="11.25">
      <c r="A5" s="48" t="s">
        <v>3448</v>
      </c>
      <c r="B5" s="48" t="s">
        <v>3449</v>
      </c>
    </row>
    <row customHeight="1" ht="11.25">
      <c r="A6" s="48" t="s">
        <v>3450</v>
      </c>
      <c r="B6" s="48" t="s">
        <v>3451</v>
      </c>
    </row>
    <row customHeight="1" ht="11.25">
      <c r="A7" s="48" t="s">
        <v>3452</v>
      </c>
      <c r="B7" s="48" t="s">
        <v>3453</v>
      </c>
    </row>
    <row customHeight="1" ht="11.25">
      <c r="A8" s="48" t="s">
        <v>3454</v>
      </c>
      <c r="B8" s="48" t="s">
        <v>3455</v>
      </c>
    </row>
    <row customHeight="1" ht="11.25">
      <c r="A9" s="48" t="s">
        <v>3456</v>
      </c>
      <c r="B9" s="48" t="s">
        <v>3457</v>
      </c>
    </row>
    <row customHeight="1" ht="11.25">
      <c r="A10" s="48" t="s">
        <v>3458</v>
      </c>
      <c r="B10" s="48" t="s">
        <v>3459</v>
      </c>
    </row>
    <row customHeight="1" ht="11.25">
      <c r="A11" s="48" t="s">
        <v>3460</v>
      </c>
      <c r="B11" s="48" t="s">
        <v>3461</v>
      </c>
    </row>
    <row customHeight="1" ht="11.25">
      <c r="A12" s="48" t="s">
        <v>3462</v>
      </c>
      <c r="B12" s="48" t="s">
        <v>3463</v>
      </c>
    </row>
    <row customHeight="1" ht="11.25">
      <c r="A13" s="48" t="s">
        <v>3464</v>
      </c>
      <c r="B13" s="48" t="s">
        <v>3465</v>
      </c>
    </row>
    <row customHeight="1" ht="11.25">
      <c r="A14" s="48" t="s">
        <v>3466</v>
      </c>
      <c r="B14" s="48" t="s">
        <v>3467</v>
      </c>
    </row>
    <row customHeight="1" ht="11.25">
      <c r="A15" s="48" t="s">
        <v>3468</v>
      </c>
      <c r="B15" s="48" t="s">
        <v>3469</v>
      </c>
    </row>
    <row customHeight="1" ht="11.25">
      <c r="A16" s="48" t="s">
        <v>3470</v>
      </c>
      <c r="B16" s="48" t="s">
        <v>3471</v>
      </c>
    </row>
    <row customHeight="1" ht="11.25">
      <c r="A17" s="48" t="s">
        <v>3472</v>
      </c>
      <c r="B17" s="48" t="s">
        <v>3473</v>
      </c>
    </row>
    <row customHeight="1" ht="11.25">
      <c r="A18" s="48" t="s">
        <v>3474</v>
      </c>
      <c r="B18" s="48" t="s">
        <v>3475</v>
      </c>
    </row>
    <row customHeight="1" ht="11.25">
      <c r="A19" s="48" t="s">
        <v>3476</v>
      </c>
      <c r="B19" s="48" t="s">
        <v>3477</v>
      </c>
    </row>
    <row customHeight="1" ht="11.25">
      <c r="A20" s="48" t="s">
        <v>3478</v>
      </c>
      <c r="B20" s="48" t="s">
        <v>3479</v>
      </c>
    </row>
    <row customHeight="1" ht="11.25">
      <c r="A21" s="48" t="s">
        <v>3480</v>
      </c>
      <c r="B21" s="48" t="s">
        <v>3481</v>
      </c>
    </row>
    <row customHeight="1" ht="11.25">
      <c r="A22" s="48" t="s">
        <v>3482</v>
      </c>
      <c r="B22" s="48" t="s">
        <v>3483</v>
      </c>
    </row>
    <row customHeight="1" ht="11.25">
      <c r="A23" s="48" t="s">
        <v>3484</v>
      </c>
      <c r="B23" s="48" t="s">
        <v>3485</v>
      </c>
    </row>
    <row customHeight="1" ht="11.25">
      <c r="A24" s="48" t="s">
        <v>3486</v>
      </c>
      <c r="B24" s="48" t="s">
        <v>3487</v>
      </c>
    </row>
    <row customHeight="1" ht="11.25">
      <c r="A25" s="48" t="s">
        <v>3488</v>
      </c>
      <c r="B25" s="48" t="s">
        <v>3489</v>
      </c>
    </row>
    <row customHeight="1" ht="11.25">
      <c r="A26" s="48" t="s">
        <v>3490</v>
      </c>
      <c r="B26" s="48" t="s">
        <v>3491</v>
      </c>
    </row>
    <row customHeight="1" ht="11.25">
      <c r="A27" s="48" t="s">
        <v>3492</v>
      </c>
      <c r="B27" s="48" t="s">
        <v>3493</v>
      </c>
    </row>
    <row customHeight="1" ht="11.25">
      <c r="A28" s="48" t="s">
        <v>3494</v>
      </c>
      <c r="B28" s="48" t="s">
        <v>3495</v>
      </c>
    </row>
    <row customHeight="1" ht="11.25">
      <c r="A29" s="48" t="s">
        <v>3496</v>
      </c>
      <c r="B29" s="48" t="s">
        <v>3497</v>
      </c>
    </row>
    <row customHeight="1" ht="11.25">
      <c r="A30" s="48" t="s">
        <v>3498</v>
      </c>
      <c r="B30" s="48" t="s">
        <v>3499</v>
      </c>
    </row>
    <row customHeight="1" ht="11.25">
      <c r="A31" s="48" t="s">
        <v>3500</v>
      </c>
      <c r="B31" s="48" t="s">
        <v>3501</v>
      </c>
    </row>
    <row customHeight="1" ht="11.25">
      <c r="A32" s="48" t="s">
        <v>3502</v>
      </c>
      <c r="B32" s="48" t="s">
        <v>3503</v>
      </c>
    </row>
    <row customHeight="1" ht="11.25">
      <c r="A33" s="48" t="s">
        <v>3504</v>
      </c>
      <c r="B33" s="48" t="s">
        <v>3505</v>
      </c>
    </row>
    <row customHeight="1" ht="11.25">
      <c r="A34" s="48" t="s">
        <v>3506</v>
      </c>
      <c r="B34" s="48" t="s">
        <v>3507</v>
      </c>
    </row>
    <row customHeight="1" ht="11.25">
      <c r="A35" s="48" t="s">
        <v>3508</v>
      </c>
      <c r="B35" s="48" t="s">
        <v>3509</v>
      </c>
    </row>
    <row customHeight="1" ht="11.25">
      <c r="A36" s="48" t="s">
        <v>3510</v>
      </c>
      <c r="B36" s="48" t="s">
        <v>3511</v>
      </c>
    </row>
    <row customHeight="1" ht="11.25">
      <c r="A37" s="48" t="s">
        <v>3512</v>
      </c>
      <c r="B37" s="48" t="s">
        <v>3513</v>
      </c>
    </row>
    <row customHeight="1" ht="11.25">
      <c r="A38" s="48" t="s">
        <v>3514</v>
      </c>
      <c r="B38" s="48" t="s">
        <v>3515</v>
      </c>
    </row>
    <row customHeight="1" ht="11.25">
      <c r="A39" s="48" t="s">
        <v>3516</v>
      </c>
      <c r="B39" s="48" t="s">
        <v>3517</v>
      </c>
    </row>
    <row customHeight="1" ht="11.25">
      <c r="A40" s="48" t="s">
        <v>3518</v>
      </c>
      <c r="B40" s="48" t="s">
        <v>3519</v>
      </c>
    </row>
    <row customHeight="1" ht="11.25">
      <c r="A41" s="48" t="s">
        <v>3520</v>
      </c>
      <c r="B41" s="48" t="s">
        <v>3521</v>
      </c>
    </row>
    <row customHeight="1" ht="11.25">
      <c r="A42" s="48" t="s">
        <v>3522</v>
      </c>
      <c r="B42" s="48" t="s">
        <v>3523</v>
      </c>
    </row>
    <row customHeight="1" ht="11.25">
      <c r="A43" s="48" t="s">
        <v>3524</v>
      </c>
      <c r="B43" s="48" t="s">
        <v>3525</v>
      </c>
    </row>
    <row customHeight="1" ht="11.25">
      <c r="A44" s="48" t="s">
        <v>3526</v>
      </c>
      <c r="B44" s="48" t="s">
        <v>3527</v>
      </c>
    </row>
    <row customHeight="1" ht="11.25">
      <c r="A45" s="48" t="s">
        <v>3528</v>
      </c>
      <c r="B45" s="48" t="s">
        <v>3529</v>
      </c>
    </row>
    <row customHeight="1" ht="11.25">
      <c r="A46" s="48" t="s">
        <v>3530</v>
      </c>
      <c r="B46" s="48" t="s">
        <v>3531</v>
      </c>
    </row>
    <row customHeight="1" ht="11.25">
      <c r="A47" s="48" t="s">
        <v>3532</v>
      </c>
      <c r="B47" s="48" t="s">
        <v>3533</v>
      </c>
    </row>
    <row customHeight="1" ht="11.25">
      <c r="A48" s="48" t="s">
        <v>3534</v>
      </c>
      <c r="B48" s="48" t="s">
        <v>3535</v>
      </c>
    </row>
    <row customHeight="1" ht="11.25">
      <c r="A49" s="48" t="s">
        <v>3536</v>
      </c>
      <c r="B49" s="48" t="s">
        <v>3537</v>
      </c>
    </row>
    <row customHeight="1" ht="11.25">
      <c r="A50" s="48" t="s">
        <v>3538</v>
      </c>
      <c r="B50" s="48" t="s">
        <v>3539</v>
      </c>
    </row>
    <row customHeight="1" ht="11.25">
      <c r="A51" s="48" t="s">
        <v>3540</v>
      </c>
      <c r="B51" s="48" t="s">
        <v>3541</v>
      </c>
    </row>
    <row customHeight="1" ht="11.25">
      <c r="A52" s="48" t="s">
        <v>3542</v>
      </c>
      <c r="B52" s="48" t="s">
        <v>3543</v>
      </c>
    </row>
    <row customHeight="1" ht="11.25">
      <c r="A53" s="48" t="s">
        <v>3544</v>
      </c>
      <c r="B53" s="48" t="s">
        <v>3545</v>
      </c>
    </row>
    <row customHeight="1" ht="11.25">
      <c r="A54" s="48" t="s">
        <v>3546</v>
      </c>
      <c r="B54" s="48" t="s">
        <v>3547</v>
      </c>
    </row>
    <row customHeight="1" ht="11.25">
      <c r="A55" s="48" t="s">
        <v>3548</v>
      </c>
      <c r="B55" s="48" t="s">
        <v>3549</v>
      </c>
    </row>
    <row customHeight="1" ht="11.25">
      <c r="A56" s="48" t="s">
        <v>3550</v>
      </c>
      <c r="B56" s="48" t="s">
        <v>3551</v>
      </c>
    </row>
    <row customHeight="1" ht="11.25">
      <c r="A57" s="48" t="s">
        <v>3552</v>
      </c>
      <c r="B57" s="48" t="s">
        <v>3553</v>
      </c>
    </row>
    <row customHeight="1" ht="11.25">
      <c r="A58" s="48" t="s">
        <v>3554</v>
      </c>
      <c r="B58" s="48" t="s">
        <v>3555</v>
      </c>
    </row>
    <row customHeight="1" ht="11.25">
      <c r="A59" s="48" t="s">
        <v>3556</v>
      </c>
      <c r="B59" s="48" t="s">
        <v>3557</v>
      </c>
    </row>
    <row customHeight="1" ht="11.25">
      <c r="A60" s="48" t="s">
        <v>3558</v>
      </c>
      <c r="B60" s="48" t="s">
        <v>3559</v>
      </c>
    </row>
    <row customHeight="1" ht="11.25">
      <c r="A61" s="48"/>
      <c r="B61" s="48" t="s">
        <v>3560</v>
      </c>
    </row>
    <row customHeight="1" ht="11.25">
      <c r="A62" s="48"/>
      <c r="B62" s="48" t="s">
        <v>3561</v>
      </c>
    </row>
    <row customHeight="1" ht="11.25">
      <c r="A63" s="48"/>
      <c r="B63" s="48" t="s">
        <v>3562</v>
      </c>
    </row>
    <row customHeight="1" ht="11.25">
      <c r="A64" s="48"/>
      <c r="B64" s="48" t="s">
        <v>3563</v>
      </c>
    </row>
    <row customHeight="1" ht="11.25">
      <c r="A65" s="48"/>
      <c r="B65" s="48" t="s">
        <v>3564</v>
      </c>
    </row>
    <row customHeight="1" ht="11.25">
      <c r="A66" s="48"/>
      <c r="B66" s="48" t="s">
        <v>3565</v>
      </c>
    </row>
    <row customHeight="1" ht="11.25">
      <c r="A67" s="48"/>
      <c r="B67" s="48" t="s">
        <v>3566</v>
      </c>
    </row>
    <row customHeight="1" ht="11.25">
      <c r="A68" s="48"/>
      <c r="B68" s="48" t="s">
        <v>3567</v>
      </c>
    </row>
    <row customHeight="1" ht="11.25">
      <c r="A69" s="48"/>
      <c r="B69" s="48" t="s">
        <v>3568</v>
      </c>
    </row>
    <row customHeight="1" ht="11.25">
      <c r="A70" s="48"/>
      <c r="B70" s="48" t="s">
        <v>3569</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146853-D3D4-48E2-56C4-BE1C0225252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0" width="3.7109375" customWidth="1"/>
    <col min="2" max="2" style="2490" width="90.7109375" customWidth="1"/>
    <col min="3" max="4" style="2490" width="9.140625"/>
  </cols>
  <sheetData>
    <row customHeight="1" ht="11.25">
      <c r="B1" s="78" t="s">
        <v>3570</v>
      </c>
    </row>
    <row customHeight="1" ht="90">
      <c r="B2" s="79" t="s">
        <v>3571</v>
      </c>
    </row>
    <row customHeight="1" ht="67.5">
      <c r="B3" s="79" t="s">
        <v>3572</v>
      </c>
    </row>
    <row customHeight="1" ht="33.75">
      <c r="B4" s="79" t="s">
        <v>3573</v>
      </c>
    </row>
    <row customHeight="1" ht="11.25">
      <c r="B5" s="79" t="s">
        <v>3574</v>
      </c>
    </row>
    <row customHeight="1" ht="22.5">
      <c r="B6" s="79" t="s">
        <v>3575</v>
      </c>
    </row>
    <row customHeight="1" ht="22.5">
      <c r="B7" s="79" t="s">
        <v>3576</v>
      </c>
    </row>
    <row customHeight="1" ht="22.5">
      <c r="B8" s="79" t="s">
        <v>3577</v>
      </c>
    </row>
    <row customHeight="1" ht="22.5">
      <c r="B9" s="79" t="s">
        <v>3578</v>
      </c>
    </row>
    <row customHeight="1" ht="56.25">
      <c r="B10" s="79" t="s">
        <v>3579</v>
      </c>
    </row>
    <row customHeight="1" ht="12.75">
      <c r="B11" s="145" t="s">
        <v>3580</v>
      </c>
    </row>
    <row customHeight="1" ht="11.25">
      <c r="B12" s="78" t="s">
        <v>3581</v>
      </c>
    </row>
    <row customHeight="1" ht="22.5">
      <c r="B13" s="79" t="s">
        <v>3582</v>
      </c>
    </row>
    <row customHeight="1" ht="67.5">
      <c r="B14" s="79" t="s">
        <v>3583</v>
      </c>
    </row>
    <row customHeight="1" ht="22.5">
      <c r="B15" s="79" t="s">
        <v>3584</v>
      </c>
    </row>
    <row customHeight="1" ht="11.25">
      <c r="B16" s="78" t="s">
        <v>3585</v>
      </c>
      <c r="D16" s="86"/>
    </row>
    <row customHeight="1" ht="33.75">
      <c r="B17" s="79" t="s">
        <v>3586</v>
      </c>
    </row>
    <row customHeight="1" ht="33.75">
      <c r="B18" s="79" t="s">
        <v>3587</v>
      </c>
    </row>
    <row customHeight="1" ht="11.25">
      <c r="B19" s="79" t="s">
        <v>3588</v>
      </c>
    </row>
    <row customHeight="1" ht="33.75">
      <c r="B20" s="79" t="s">
        <v>3589</v>
      </c>
    </row>
    <row customHeight="1" ht="11.25">
      <c r="B21" s="78" t="s">
        <v>3590</v>
      </c>
    </row>
    <row customHeight="1" ht="11.25">
      <c r="B22" s="79" t="s">
        <v>3591</v>
      </c>
    </row>
    <row r="24" customHeight="1" ht="22.5">
      <c r="B24" s="147" t="s">
        <v>3592</v>
      </c>
    </row>
    <row r="26" customHeight="1" ht="11.25">
      <c r="B26" s="78" t="s">
        <v>3593</v>
      </c>
    </row>
    <row customHeight="1" ht="22.5">
      <c r="B27" s="146" t="s">
        <v>461</v>
      </c>
    </row>
    <row customHeight="1" ht="56.25">
      <c r="B28" s="146" t="s">
        <v>3594</v>
      </c>
    </row>
    <row customHeight="1" ht="11.25">
      <c r="B29" s="196" t="s">
        <v>3595</v>
      </c>
    </row>
    <row customHeight="1" ht="22.5">
      <c r="B30" s="146" t="s">
        <v>3596</v>
      </c>
    </row>
    <row r="32" customHeight="1" ht="11.25">
      <c r="A32" s="174"/>
      <c r="B32" s="175" t="s">
        <v>3597</v>
      </c>
    </row>
    <row customHeight="1" ht="14.25">
      <c r="A33" s="176">
        <v>1</v>
      </c>
      <c r="B33" s="177" t="s">
        <v>3598</v>
      </c>
    </row>
    <row customHeight="1" ht="14.25">
      <c r="A34" s="176">
        <v>2</v>
      </c>
      <c r="B34" s="177" t="s">
        <v>3599</v>
      </c>
    </row>
    <row customHeight="1" ht="11.25">
      <c r="B35" s="175" t="s">
        <v>3600</v>
      </c>
    </row>
    <row customHeight="1" ht="11.25">
      <c r="B36" s="177" t="s">
        <v>3601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1806</vt:i4>
      </vt:variant>
    </vt:vector>
  </HeadingPairs>
  <TitlesOfParts>
    <vt:vector size="180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2023-09-18T06:57:30Z</dcterms:modified>
</cp:coreProperties>
</file>

<file path=docProps/custom.xml><?xml version="1.0" encoding="utf-8"?>
<Properties xmlns="http://schemas.openxmlformats.org/officeDocument/2006/custom-properties" xmlns:vt="http://schemas.openxmlformats.org/officeDocument/2006/docPropsVTypes"/>
</file>