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Т-тех'!$58:$59</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Т-тех'!$60:$61</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Предложение!$158:$160</definedName>
    <definedName name="OFFER_TARIFF_A_4">Предложение!$227:$229</definedName>
    <definedName name="OFFER_TARIFF_A_5">Предложение!$288:$290</definedName>
    <definedName name="OFFER_TARIFF_A_COLDVSNA_1">Предложение!$51:$53</definedName>
    <definedName name="OFFER_TARIFF_A_COLDVSNA_2">Предложение!$114:$121</definedName>
    <definedName name="OFFER_TARIFF_A_COLDVSNA_3">Предложение!$185:$191</definedName>
    <definedName name="OFFER_TARIFF_A_COLDVSNA_4">Предложение!$254:$256</definedName>
    <definedName name="OFFER_TARIFF_A_COLDVSNA_5">Предложение!$315:$317</definedName>
    <definedName name="OFFER_TARIFF_A_HOTVSNA_1">Предложение!$66:$68</definedName>
    <definedName name="OFFER_TARIFF_A_HOTVSNA_2">Предложение!$139:$141</definedName>
    <definedName name="OFFER_TARIFF_A_HOTVSNA_3">Предложение!$208:$210</definedName>
    <definedName name="OFFER_TARIFF_A_HOTVSNA_4">Предложение!$269:$271</definedName>
    <definedName name="OFFER_TARIFF_A_HOTVSNA_5">Предложение!$330:$332</definedName>
    <definedName name="OFFER_TARIFF_A_VOTV_1">Предложение!$75:$77</definedName>
    <definedName name="OFFER_TARIFF_A_VOTV_2">Предложение!$148:$150</definedName>
    <definedName name="OFFER_TARIFF_A_VOTV_3">Предложение!$217:$219</definedName>
    <definedName name="OFFER_TARIFF_A_VOTV_4">Предложение!$278:$280</definedName>
    <definedName name="OFFER_TARIFF_A_VOTV_5">Предложение!$339:$341</definedName>
    <definedName name="OFFER_TARIFF_B_1">Предложение!$27:$29</definedName>
    <definedName name="OFFER_TARIFF_B_2">Предложение!$90:$92</definedName>
    <definedName name="OFFER_TARIFF_B_3">Предложение!$161:$163</definedName>
    <definedName name="OFFER_TARIFF_B_4">Предложение!$230:$232</definedName>
    <definedName name="OFFER_TARIFF_B_5">Предложение!$291:$293</definedName>
    <definedName name="OFFER_TARIFF_B_COLDVSNA_1">Предложение!$54:$56</definedName>
    <definedName name="OFFER_TARIFF_B_COLDVSNA_2">Предложение!$122:$129</definedName>
    <definedName name="OFFER_TARIFF_B_COLDVSNA_3">Предложение!$192:$198</definedName>
    <definedName name="OFFER_TARIFF_B_COLDVSNA_4">Предложение!$257:$259</definedName>
    <definedName name="OFFER_TARIFF_B_COLDVSNA_5">Предложение!$318:$320</definedName>
    <definedName name="OFFER_TARIFF_B_HOTVSNA_1">Предложение!$69:$71</definedName>
    <definedName name="OFFER_TARIFF_B_HOTVSNA_2">Предложение!$142:$144</definedName>
    <definedName name="OFFER_TARIFF_B_HOTVSNA_3">Предложение!$211:$213</definedName>
    <definedName name="OFFER_TARIFF_B_HOTVSNA_4">Предложение!$272:$274</definedName>
    <definedName name="OFFER_TARIFF_B_HOTVSNA_5">Предложение!$333:$335</definedName>
    <definedName name="OFFER_TARIFF_B_VOTV_1">Предложение!$78:$80</definedName>
    <definedName name="OFFER_TARIFF_B_VOTV_2">Предложение!$151:$153</definedName>
    <definedName name="OFFER_TARIFF_B_VOTV_3">Предложение!$220:$222</definedName>
    <definedName name="OFFER_TARIFF_B_VOTV_4">Предложение!$281:$283</definedName>
    <definedName name="OFFER_TARIFF_B_VOTV_5">Предложение!$342:$344</definedName>
    <definedName name="OFFER_TARIFF_C_1">Предложение!$30:$32</definedName>
    <definedName name="OFFER_TARIFF_C_2">Предложение!$93:$95</definedName>
    <definedName name="OFFER_TARIFF_C_3">Предложение!$164:$166</definedName>
    <definedName name="OFFER_TARIFF_C_4">Предложение!$233:$235</definedName>
    <definedName name="OFFER_TARIFF_C_5">Предложение!$294:$296</definedName>
    <definedName name="OFFER_TARIFF_C_COLDVSNA_1">Предложение!$57:$59</definedName>
    <definedName name="OFFER_TARIFF_C_COLDVSNA_2">Предложение!$130:$132</definedName>
    <definedName name="OFFER_TARIFF_C_COLDVSNA_3">Предложение!$199:$201</definedName>
    <definedName name="OFFER_TARIFF_C_COLDVSNA_4">Предложение!$260:$262</definedName>
    <definedName name="OFFER_TARIFF_C_COLDVSNA_5">Предложение!$321:$323</definedName>
    <definedName name="OFFER_TARIFF_C_HOTVSNA_1">Предложение!$72:$74</definedName>
    <definedName name="OFFER_TARIFF_C_HOTVSNA_2">Предложение!$145:$147</definedName>
    <definedName name="OFFER_TARIFF_C_HOTVSNA_3">Предложение!$214:$216</definedName>
    <definedName name="OFFER_TARIFF_C_HOTVSNA_4">Предложение!$275:$277</definedName>
    <definedName name="OFFER_TARIFF_C_HOTVSNA_5">Предложение!$336:$338</definedName>
    <definedName name="OFFER_TARIFF_C_VOTV_1">Предложение!$81:$83</definedName>
    <definedName name="OFFER_TARIFF_C_VOTV_2">Предложение!$154:$156</definedName>
    <definedName name="OFFER_TARIFF_C_VOTV_3">Предложение!$223:$225</definedName>
    <definedName name="OFFER_TARIFF_C_VOTV_4">Предложение!$284:$286</definedName>
    <definedName name="OFFER_TARIFF_C_VOTV_5">Предложение!$345:$347</definedName>
    <definedName name="OFFER_TARIFF_D_1">Предложение!$33:$35</definedName>
    <definedName name="OFFER_TARIFF_D_2">Предложение!$96:$98</definedName>
    <definedName name="OFFER_TARIFF_D_3">Предложение!$167:$169</definedName>
    <definedName name="OFFER_TARIFF_D_4">Предложение!$236:$238</definedName>
    <definedName name="OFFER_TARIFF_D_5">Предложение!$297:$299</definedName>
    <definedName name="OFFER_TARIFF_D_COLDVSNA_1">Предложение!$60:$62</definedName>
    <definedName name="OFFER_TARIFF_D_COLDVSNA_2">Предложение!$133:$135</definedName>
    <definedName name="OFFER_TARIFF_D_COLDVSNA_3">Предложение!$202:$204</definedName>
    <definedName name="OFFER_TARIFF_D_COLDVSNA_4">Предложение!$263:$265</definedName>
    <definedName name="OFFER_TARIFF_D_COLDVSNA_5">Предложение!$324:$326</definedName>
    <definedName name="OFFER_TARIFF_E_COLDVSNA_1">Предложение!$63:$65</definedName>
    <definedName name="OFFER_TARIFF_E_COLDVSNA_2">Предложение!$136:$138</definedName>
    <definedName name="OFFER_TARIFF_E_COLDVSNA_3">Предложение!$205:$207</definedName>
    <definedName name="OFFER_TARIFF_E_COLDVSNA_4">Предложение!$266:$268</definedName>
    <definedName name="OFFER_TARIFF_E_COLDVSNA_5">Предложение!$327:$329</definedName>
    <definedName name="OFFER_TARIFF_E1_1">Предложение!$36:$38</definedName>
    <definedName name="OFFER_TARIFF_E1_2">Предложение!$99:$101</definedName>
    <definedName name="OFFER_TARIFF_E1_3">Предложение!$170:$172</definedName>
    <definedName name="OFFER_TARIFF_E1_4">Предложение!$239:$241</definedName>
    <definedName name="OFFER_TARIFF_E1_5">Предложение!$300:$302</definedName>
    <definedName name="OFFER_TARIFF_E2_1">Предложение!$39:$41</definedName>
    <definedName name="OFFER_TARIFF_E2_2">Предложение!$102:$104</definedName>
    <definedName name="OFFER_TARIFF_E2_3">Предложение!$173:$175</definedName>
    <definedName name="OFFER_TARIFF_E2_4">Предложение!$242:$244</definedName>
    <definedName name="OFFER_TARIFF_E2_5">Предложение!$303:$305</definedName>
    <definedName name="OFFER_TARIFF_F_1">Предложение!$42:$44</definedName>
    <definedName name="OFFER_TARIFF_F_2">Предложение!$105:$107</definedName>
    <definedName name="OFFER_TARIFF_F_3">Предложение!$176:$178</definedName>
    <definedName name="OFFER_TARIFF_F_4">Предложение!$245:$247</definedName>
    <definedName name="OFFER_TARIFF_F_5">Предложение!$306:$308</definedName>
    <definedName name="OFFER_TARIFF_G_1">Предложение!$45:$47</definedName>
    <definedName name="OFFER_TARIFF_G_2">Предложение!$108:$110</definedName>
    <definedName name="OFFER_TARIFF_G_3">Предложение!$179:$181</definedName>
    <definedName name="OFFER_TARIFF_G_4">Предложение!$248:$250</definedName>
    <definedName name="OFFER_TARIFF_G_5">Предложение!$309:$311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Предложение!$G$121</definedName>
    <definedName name="pIns_PT_VTAR_A_COLDVSNA_OFFER_3">Предложение!$G$191</definedName>
    <definedName name="pIns_PT_VTAR_A_COLDVSNA_OFFER_4">Предложение!$G$256</definedName>
    <definedName name="pIns_PT_VTAR_A_COLDVSNA_OFFER_5">Предложение!$G$317</definedName>
    <definedName name="pIns_PT_VTAR_A_COLDVSNA_OFFER5">Предложение!$G$317</definedName>
    <definedName name="pIns_PT_VTAR_A_HOTVSNA">'ГВС. Т-гор.вода'!$T$54</definedName>
    <definedName name="pIns_PT_VTAR_A_HOTVSNA_OFFER_1">Предложение!$G$68</definedName>
    <definedName name="pIns_PT_VTAR_A_HOTVSNA_OFFER_2">Предложение!$G$141</definedName>
    <definedName name="pIns_PT_VTAR_A_HOTVSNA_OFFER_3">Предложение!$G$210</definedName>
    <definedName name="pIns_PT_VTAR_A_HOTVSNA_OFFER_4">Предложение!$G$271</definedName>
    <definedName name="pIns_PT_VTAR_A_HOTVSNA_OFFER_5">Предложение!$G$332</definedName>
    <definedName name="pIns_PT_VTAR_A_OFFER_1">Предложение!$G$26</definedName>
    <definedName name="pIns_PT_VTAR_A_OFFER_2">Предложение!$G$89</definedName>
    <definedName name="pIns_PT_VTAR_A_OFFER_3">Предложение!$G$160</definedName>
    <definedName name="pIns_PT_VTAR_A_OFFER_4">Предложение!$G$229</definedName>
    <definedName name="pIns_PT_VTAR_A_OFFER_5">Предложение!$G$290</definedName>
    <definedName name="pIns_PT_VTAR_A_VOTV">'ВО. Т-во'!$T$53</definedName>
    <definedName name="pIns_PT_VTAR_A_VOTV_OFFER_1">Предложение!$G$77</definedName>
    <definedName name="pIns_PT_VTAR_A_VOTV_OFFER_2">Предложение!$G$150</definedName>
    <definedName name="pIns_PT_VTAR_A_VOTV_OFFER_3">Предложение!$G$219</definedName>
    <definedName name="pIns_PT_VTAR_A_VOTV_OFFER_4">Предложение!$G$280</definedName>
    <definedName name="pIns_PT_VTAR_A_VOTV_OFFER_5">Предложение!$G$341</definedName>
    <definedName name="pIns_PT_VTAR_B">'ТС. Т-ТЭ | ТСО'!$T$57</definedName>
    <definedName name="pIns_PT_VTAR_B_COLDVSNA">'ХВС. Т-тех'!$T$57</definedName>
    <definedName name="pIns_PT_VTAR_B_COLDVSNA_OFFER_1">Предложение!$G$56</definedName>
    <definedName name="pIns_PT_VTAR_B_COLDVSNA_OFFER_2">Предложение!$G$129</definedName>
    <definedName name="pIns_PT_VTAR_B_COLDVSNA_OFFER_3">Предложение!$G$198</definedName>
    <definedName name="pIns_PT_VTAR_B_COLDVSNA_OFFER_4">Предложение!$G$259</definedName>
    <definedName name="pIns_PT_VTAR_B_COLDVSNA_OFFER_5">Предложение!$G$320</definedName>
    <definedName name="pIns_PT_VTAR_B_HOTVSNA">'ГВС. Т-транс'!$T$54</definedName>
    <definedName name="pIns_PT_VTAR_B_HOTVSNA_OFFER_1">Предложение!$G$71</definedName>
    <definedName name="pIns_PT_VTAR_B_HOTVSNA_OFFER_2">Предложение!$G$144</definedName>
    <definedName name="pIns_PT_VTAR_B_HOTVSNA_OFFER_3">Предложение!$G$213</definedName>
    <definedName name="pIns_PT_VTAR_B_HOTVSNA_OFFER_4">Предложение!$G$274</definedName>
    <definedName name="pIns_PT_VTAR_B_HOTVSNA_OFFER_5">Предложение!$G$335</definedName>
    <definedName name="pIns_PT_VTAR_B_OFFER_1">Предложение!$G$29</definedName>
    <definedName name="pIns_PT_VTAR_B_OFFER_2">Предложение!$G$92</definedName>
    <definedName name="pIns_PT_VTAR_B_OFFER_3">Предложение!$G$163</definedName>
    <definedName name="pIns_PT_VTAR_B_OFFER_4">Предложение!$G$232</definedName>
    <definedName name="pIns_PT_VTAR_B_OFFER_5">Предложение!$G$293</definedName>
    <definedName name="pIns_PT_VTAR_B_VOTV">'ВО. Т-транс'!$T$53</definedName>
    <definedName name="pIns_PT_VTAR_B_VOTV_OFFER_1">Предложение!$G$80</definedName>
    <definedName name="pIns_PT_VTAR_B_VOTV_OFFER_2">Предложение!$G$153</definedName>
    <definedName name="pIns_PT_VTAR_B_VOTV_OFFER_3">Предложение!$G$222</definedName>
    <definedName name="pIns_PT_VTAR_B_VOTV_OFFER_4">Предложение!$G$283</definedName>
    <definedName name="pIns_PT_VTAR_B_VOTV_OFFER_5">Предложение!$G$344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Предложение!$G$132</definedName>
    <definedName name="pIns_PT_VTAR_C_COLDVSNA_OFFER_3">Предложение!$G$201</definedName>
    <definedName name="pIns_PT_VTAR_C_COLDVSNA_OFFER_4">Предложение!$G$262</definedName>
    <definedName name="pIns_PT_VTAR_C_COLDVSNA_OFFER_5">Предложение!$G$323</definedName>
    <definedName name="pIns_PT_VTAR_C_HOTVSNA">'ГВС. Т-подкл'!$T$63</definedName>
    <definedName name="pIns_PT_VTAR_C_HOTVSNA_OFFER_1">Предложение!$G$74</definedName>
    <definedName name="pIns_PT_VTAR_C_HOTVSNA_OFFER_2">Предложение!$G$147</definedName>
    <definedName name="pIns_PT_VTAR_C_HOTVSNA_OFFER_3">Предложение!$G$216</definedName>
    <definedName name="pIns_PT_VTAR_C_HOTVSNA_OFFER_4">Предложение!$G$277</definedName>
    <definedName name="pIns_PT_VTAR_C_HOTVSNA_OFFER_5">Предложение!$G$338</definedName>
    <definedName name="pIns_PT_VTAR_C_OFFER_1">Предложение!$G$32</definedName>
    <definedName name="pIns_PT_VTAR_C_OFFER_2">Предложение!$G$95</definedName>
    <definedName name="pIns_PT_VTAR_C_OFFER_3">Предложение!$G$166</definedName>
    <definedName name="pIns_PT_VTAR_C_OFFER_4">Предложение!$G$235</definedName>
    <definedName name="pIns_PT_VTAR_C_OFFER_5">Предложение!$G$296</definedName>
    <definedName name="pIns_PT_VTAR_C_VOTV">'ВО. Т-подкл'!$T$63</definedName>
    <definedName name="pIns_PT_VTAR_C_VOTV_OFFER_1">Предложение!$G$83</definedName>
    <definedName name="pIns_PT_VTAR_C_VOTV_OFFER_2">Предложение!$G$156</definedName>
    <definedName name="pIns_PT_VTAR_C_VOTV_OFFER_3">Предложение!$G$225</definedName>
    <definedName name="pIns_PT_VTAR_C_VOTV_OFFER_4">Предложение!$G$286</definedName>
    <definedName name="pIns_PT_VTAR_C_VOTV_OFFER_5">Предложение!$G$347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Предложение!$G$135</definedName>
    <definedName name="pIns_PT_VTAR_D_COLDVSNA_OFFER_3">Предложение!$G$204</definedName>
    <definedName name="pIns_PT_VTAR_D_COLDVSNA_OFFER_4">Предложение!$G$265</definedName>
    <definedName name="pIns_PT_VTAR_D_COLDVSNA_OFFER_5">Предложение!$G$326</definedName>
    <definedName name="pIns_PT_VTAR_D_OFFER_1">Предложение!$G$35</definedName>
    <definedName name="pIns_PT_VTAR_D_OFFER_2">Предложение!$G$98</definedName>
    <definedName name="pIns_PT_VTAR_D_OFFER_3">Предложение!$G$169</definedName>
    <definedName name="pIns_PT_VTAR_D_OFFER_4">Предложение!$G$238</definedName>
    <definedName name="pIns_PT_VTAR_D_OFFER_5">Предложение!$G$299</definedName>
    <definedName name="pIns_PT_VTAR_E_COLDVSNA">'ХВС. Т-подкл'!$T$63</definedName>
    <definedName name="pIns_PT_VTAR_E_COLDVSNA_OFFER_1">Предложение!$G$65</definedName>
    <definedName name="pIns_PT_VTAR_E_COLDVSNA_OFFER_2">Предложение!$G$138</definedName>
    <definedName name="pIns_PT_VTAR_E_COLDVSNA_OFFER_3">Предложение!$G$207</definedName>
    <definedName name="pIns_PT_VTAR_E_COLDVSNA_OFFER_4">Предложение!$G$268</definedName>
    <definedName name="pIns_PT_VTAR_E_COLDVSNA_OFFER_5">Предложение!$G$329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Предложение!$G$172</definedName>
    <definedName name="pIns_PT_VTAR_E1_OFFER_4">Предложение!$G$241</definedName>
    <definedName name="pIns_PT_VTAR_E1_OFFER_5">Предложение!$G$302</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Предложение!$G$175</definedName>
    <definedName name="pIns_PT_VTAR_E2_OFFER_4">Предложение!$G$244</definedName>
    <definedName name="pIns_PT_VTAR_E2_OFFER_5">Предложение!$G$305</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Предложение!$G$178</definedName>
    <definedName name="pIns_PT_VTAR_F_OFFER_4">Предложение!$G$247</definedName>
    <definedName name="pIns_PT_VTAR_F_OFFER_5">Предложение!$G$308</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Предложение!$G$181</definedName>
    <definedName name="pIns_PT_VTAR_G_OFFER_4">Предложение!$G$250</definedName>
    <definedName name="pIns_PT_VTAR_G_OFFER_5">Предложение!$G$311</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Предложение!$G$184</definedName>
    <definedName name="pIns_PT_VTAR_H_OFFER_4">Предложение!$G$253</definedName>
    <definedName name="pIns_PT_VTAR_H_OFFER_5">Предложение!$G$314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Т-пит'!$BZ$37</definedName>
    <definedName name="pIns_ver_COLDVSNA_TARIFF_B_COLDVSNA">'ХВС. Т-тех'!$CG$37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Т-пит'!$BZ$58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Т-тех'!$CG$58</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<sst xmlns="http://schemas.openxmlformats.org/spreadsheetml/2006/main" count="14851" uniqueCount="3658">
  <si>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</si>
  <si>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</si>
  <si>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</si>
  <si>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</si>
  <si>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</si>
  <si>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</si>
  <si>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</si>
  <si>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</si>
  <si>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</si>
  <si>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</si>
  <si>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</si>
  <si>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</si>
  <si>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</si>
  <si>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</si>
  <si>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</si>
  <si>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</si>
  <si>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</si>
  <si>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</si>
  <si>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</si>
  <si>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</si>
  <si>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</si>
  <si>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</si>
  <si>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</si>
  <si>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</si>
  <si>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</si>
  <si>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</si>
  <si>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</si>
  <si>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</si>
  <si>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</si>
  <si>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</si>
  <si>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</si>
  <si>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</si>
  <si>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</si>
  <si>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</si>
  <si>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</si>
  <si>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</si>
  <si>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</si>
  <si>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</si>
  <si>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</si>
  <si>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</si>
  <si>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</si>
  <si>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27-2185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</si>
  <si>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</si>
  <si>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</si>
  <si>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</si>
  <si>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27-2085</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</si>
  <si>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</si>
  <si>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</si>
  <si>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</si>
  <si>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</si>
  <si>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</si>
  <si>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</si>
  <si>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</si>
  <si>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</si>
  <si>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</si>
  <si>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</si>
  <si>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</si>
  <si>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</si>
  <si>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</si>
  <si>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</si>
  <si>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</si>
  <si>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</si>
  <si>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</si>
  <si>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</si>
  <si>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</si>
  <si>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</si>
  <si>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</si>
  <si>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</si>
  <si>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</si>
  <si>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</si>
  <si>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Россия Приморский  край  г. Уссурийск,ул. Карбышева,27</t>
  </si>
  <si>
    <t>Фамилия, имя, отчество руководителя</t>
  </si>
  <si>
    <t>Мутовин Виталий Евгеньевич</t>
  </si>
  <si>
    <t>Ответственный за заполнение формы</t>
  </si>
  <si>
    <t>Фамилия, имя, отчество</t>
  </si>
  <si>
    <t>Ворожбит Ирина Викторовна</t>
  </si>
  <si>
    <t>Должность</t>
  </si>
  <si>
    <t>начальник  планово-экономического  отдела</t>
  </si>
  <si>
    <t>Контактный телефон</t>
  </si>
  <si>
    <t>8(4234)321033</t>
  </si>
  <si>
    <t>E-mail</t>
  </si>
  <si>
    <t>mail@ussuraqua.ru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</si>
  <si>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</si>
  <si>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</si>
  <si>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</si>
  <si>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</si>
  <si>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</si>
  <si>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</si>
  <si>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</si>
  <si>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</si>
  <si>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</si>
  <si>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</si>
  <si>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</si>
  <si>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</si>
  <si>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</si>
  <si>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</si>
  <si>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</si>
  <si>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</si>
  <si>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</si>
  <si>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</si>
  <si>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</si>
  <si>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</si>
  <si>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</si>
  <si>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</si>
  <si>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</si>
  <si>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</si>
  <si>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</si>
  <si>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</si>
  <si>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</si>
  <si>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</si>
  <si>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</si>
  <si>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</si>
  <si>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</si>
  <si>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</si>
  <si>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</si>
  <si>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</si>
  <si>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</si>
  <si>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</si>
  <si>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</si>
  <si>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</si>
  <si>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</si>
  <si>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</si>
  <si>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</si>
  <si>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</si>
  <si>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</si>
  <si>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</si>
  <si>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</si>
  <si>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</si>
  <si>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</si>
  <si>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</si>
  <si>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</si>
  <si>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</si>
  <si>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</si>
  <si>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</si>
  <si>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</si>
  <si>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</si>
  <si>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</si>
  <si>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</si>
  <si>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</si>
  <si>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</si>
  <si>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</si>
  <si>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</si>
  <si>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</si>
  <si>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</si>
  <si>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</si>
  <si>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</si>
  <si>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</si>
  <si>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</si>
  <si>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</si>
  <si>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</si>
  <si>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</si>
  <si>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</si>
  <si>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</si>
  <si>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</si>
  <si>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</si>
  <si>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</si>
  <si>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</si>
  <si>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</si>
  <si>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</si>
  <si>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</si>
  <si>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</si>
  <si>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</si>
  <si>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</si>
  <si>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</si>
  <si>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</si>
  <si>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</si>
  <si>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</si>
  <si>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</si>
  <si>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</si>
  <si>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</si>
  <si>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</si>
  <si>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</si>
  <si>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</si>
  <si>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</si>
  <si>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</si>
  <si>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</si>
  <si>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</si>
  <si>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</si>
  <si>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</si>
  <si>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</si>
  <si>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</si>
  <si>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</si>
  <si>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</si>
  <si>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</si>
  <si>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</si>
  <si>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</si>
  <si>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</si>
  <si>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</si>
  <si>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</si>
  <si>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</si>
  <si>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</si>
  <si>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</si>
  <si>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</si>
  <si>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</si>
  <si>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</si>
  <si>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</si>
  <si>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</si>
  <si>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</si>
  <si>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</si>
  <si>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</si>
  <si>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</si>
  <si>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</si>
  <si>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</si>
  <si>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</si>
  <si>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</si>
  <si>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</si>
  <si>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</si>
  <si>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</si>
  <si>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</si>
  <si>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</si>
  <si>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</si>
  <si>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</si>
  <si>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</si>
  <si>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</si>
  <si>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</si>
  <si>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</si>
  <si>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</si>
  <si>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</si>
  <si>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</si>
  <si>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</si>
  <si>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</si>
  <si>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</si>
  <si>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</si>
  <si>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</si>
  <si>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</si>
  <si>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</si>
  <si>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</si>
  <si>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</si>
  <si>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</si>
  <si>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</si>
  <si>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</si>
  <si>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</si>
  <si>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</si>
  <si>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</si>
  <si>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</si>
  <si>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</si>
  <si>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</si>
  <si>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</si>
  <si>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</si>
  <si>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</si>
  <si>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</si>
  <si>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</si>
  <si>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</si>
  <si>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</si>
  <si>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</si>
  <si>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</si>
  <si>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</si>
  <si>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</si>
  <si>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</si>
  <si>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</si>
  <si>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</si>
  <si>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</si>
  <si>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</si>
  <si>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</si>
  <si>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</si>
  <si>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</si>
  <si>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</si>
  <si>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</si>
  <si>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</si>
  <si>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</si>
  <si>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</si>
  <si>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</si>
  <si>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</si>
  <si>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</si>
  <si>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</si>
  <si>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</si>
  <si>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</si>
  <si>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</si>
  <si>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</si>
  <si>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</si>
  <si>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</si>
  <si>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</si>
  <si>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</si>
  <si>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</si>
  <si>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</si>
  <si>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</si>
  <si>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</si>
  <si>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</si>
  <si>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</si>
  <si>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</si>
  <si>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</si>
  <si>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</si>
  <si>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</si>
  <si>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</si>
  <si>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</si>
  <si>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</si>
  <si>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</si>
  <si>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</si>
  <si>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</si>
  <si>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</si>
  <si>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</si>
  <si>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</si>
  <si>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</si>
  <si>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</si>
  <si>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</si>
  <si>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</si>
  <si>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</si>
  <si>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</si>
  <si>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</si>
  <si>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</si>
  <si>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</si>
  <si>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</si>
  <si>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</si>
  <si>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</si>
  <si>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</si>
  <si>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</si>
  <si>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</si>
  <si>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</si>
  <si>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</si>
  <si>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</si>
  <si>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</si>
  <si>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</si>
  <si>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</si>
  <si>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</si>
  <si>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</si>
  <si>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</si>
  <si>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</si>
  <si>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</si>
  <si>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</si>
  <si>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</si>
  <si>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</si>
  <si>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</si>
  <si>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</si>
  <si>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</si>
  <si>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</si>
  <si>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</si>
  <si>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</si>
  <si>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</si>
  <si>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</si>
  <si>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</si>
  <si>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</si>
  <si>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</si>
  <si>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</si>
  <si>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</si>
  <si>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</si>
  <si>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</si>
  <si>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</si>
  <si>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</si>
  <si>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</si>
  <si>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</si>
  <si>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</si>
  <si>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</si>
  <si>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</si>
  <si>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</si>
  <si>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</si>
  <si>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</si>
  <si>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</si>
  <si>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</si>
  <si>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</si>
  <si>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</si>
  <si>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</si>
  <si>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</si>
  <si>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</si>
  <si>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</si>
  <si>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</si>
  <si>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</si>
  <si>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</si>
  <si>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</si>
  <si>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</si>
  <si>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</si>
  <si>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</si>
  <si>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</si>
  <si>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</si>
  <si>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</si>
  <si>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</si>
  <si>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</si>
  <si>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</si>
  <si>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</si>
  <si>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</si>
  <si>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</si>
  <si>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</si>
  <si>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</si>
  <si>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</si>
  <si>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</si>
  <si>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</si>
  <si>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</si>
  <si>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</si>
  <si>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</si>
  <si>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</si>
  <si>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</si>
  <si>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</si>
  <si>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</si>
  <si>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</si>
  <si>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</si>
  <si>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</si>
  <si>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</si>
  <si>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</si>
  <si>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</si>
  <si>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</si>
  <si>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</si>
  <si>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</si>
  <si>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</si>
  <si>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</si>
  <si>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</si>
  <si>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</si>
  <si>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</si>
  <si>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</si>
  <si>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</si>
  <si>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</si>
  <si>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</si>
  <si>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</si>
  <si>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</si>
  <si>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</si>
  <si>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</si>
  <si>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</si>
  <si>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</si>
  <si>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</si>
  <si>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</si>
  <si>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</si>
  <si>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</si>
  <si>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</si>
  <si>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</si>
  <si>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</si>
  <si>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</si>
  <si>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</si>
  <si>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</si>
  <si>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</si>
  <si>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</si>
  <si>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</si>
  <si>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</si>
  <si>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</si>
  <si>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</si>
  <si>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</si>
  <si>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</si>
  <si>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</si>
  <si>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</si>
  <si>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</si>
  <si>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</si>
  <si>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</si>
  <si>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</si>
  <si>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</si>
  <si>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</si>
  <si>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</si>
  <si>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</si>
  <si>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</si>
  <si>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</si>
  <si>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</si>
  <si>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</si>
  <si>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</si>
  <si>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</si>
  <si>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</si>
  <si>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</si>
  <si>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</si>
  <si>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</si>
  <si>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</si>
  <si>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</si>
  <si>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</si>
  <si>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</si>
  <si>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</si>
  <si>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</si>
  <si>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</si>
  <si>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</si>
  <si>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</si>
  <si>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</si>
  <si>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</si>
  <si>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</si>
  <si>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</si>
  <si>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</si>
  <si>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</si>
  <si>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</si>
  <si>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</si>
  <si>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</si>
  <si>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</si>
  <si>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</si>
  <si>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</si>
  <si>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</si>
  <si>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</si>
  <si>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</si>
  <si>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</si>
  <si>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</si>
  <si>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</si>
  <si>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</si>
  <si>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</si>
  <si>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</si>
  <si>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</si>
  <si>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</si>
  <si>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</si>
  <si>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</si>
  <si>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</si>
  <si>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</si>
  <si>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</si>
  <si>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</si>
  <si>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</si>
  <si>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</si>
  <si>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</si>
  <si>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</si>
  <si>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</si>
  <si>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</si>
  <si>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</si>
  <si>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</si>
  <si>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</si>
  <si>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</si>
  <si>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</si>
  <si>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</si>
  <si>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</si>
  <si>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</si>
  <si>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</si>
  <si>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</si>
  <si>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</si>
  <si>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</si>
  <si>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</si>
  <si>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Население  ( с учетом НДС 20%)</t>
  </si>
  <si>
    <t>прочие</t>
  </si>
  <si>
    <t>Прочие ( без  учета  НДС 20%)</t>
  </si>
  <si>
    <t>pt_ist_te_10</t>
  </si>
  <si>
    <t>без дифференциации</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</si>
  <si>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</si>
  <si>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</si>
  <si>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</si>
  <si>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</si>
  <si>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</si>
  <si>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</si>
  <si>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</si>
  <si>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</si>
  <si>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</si>
  <si>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</si>
  <si>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</si>
  <si>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</si>
  <si>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</si>
  <si>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</si>
  <si>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</si>
  <si>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</si>
  <si>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</si>
  <si>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</si>
  <si>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</si>
  <si>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</si>
  <si>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</si>
  <si>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</si>
  <si>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</si>
  <si>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</si>
  <si>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</si>
  <si>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</si>
  <si>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</si>
  <si>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</si>
  <si>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</si>
  <si>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</si>
  <si>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</si>
  <si>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</si>
  <si>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</si>
  <si>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</si>
  <si>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</si>
  <si>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</si>
  <si>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</si>
  <si>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</si>
  <si>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</si>
  <si>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</si>
  <si>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</si>
  <si>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</si>
  <si>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</si>
  <si>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</si>
  <si>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</si>
  <si>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</si>
  <si>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</si>
  <si>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</si>
  <si>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</si>
  <si>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</si>
  <si>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</si>
  <si>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</si>
  <si>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</si>
  <si>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</si>
  <si>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</si>
  <si>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</si>
  <si>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</si>
  <si>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</si>
  <si>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</si>
  <si>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</si>
  <si>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</si>
  <si>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</si>
  <si>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</si>
  <si>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</si>
  <si>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</si>
  <si>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</si>
  <si>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</si>
  <si>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</si>
  <si>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</si>
  <si>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</si>
  <si>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</si>
  <si>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</si>
  <si>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</si>
  <si>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</si>
  <si>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</si>
  <si>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</si>
  <si>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</si>
  <si>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</si>
  <si>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</si>
  <si>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</si>
  <si>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</si>
  <si>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</si>
  <si>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</si>
  <si>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</si>
  <si>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</si>
  <si>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</si>
  <si>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</si>
  <si>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</si>
  <si>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</si>
  <si>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</si>
  <si>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</si>
  <si>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</si>
  <si>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</si>
  <si>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</si>
  <si>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</si>
  <si>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</si>
  <si>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</si>
  <si>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</si>
  <si>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</si>
  <si>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</si>
  <si>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</si>
  <si>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</si>
  <si>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</si>
  <si>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</si>
  <si>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</si>
  <si>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</si>
  <si>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</si>
  <si>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</si>
  <si>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</si>
  <si>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</si>
  <si>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</si>
  <si>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</si>
  <si>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</si>
  <si>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</si>
  <si>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</si>
  <si>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</si>
  <si>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</si>
  <si>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</si>
  <si>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</si>
  <si>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</si>
  <si>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</si>
  <si>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</si>
  <si>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</si>
  <si>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</si>
  <si>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</si>
  <si>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</si>
  <si>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</si>
  <si>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</si>
  <si>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</si>
  <si>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</si>
  <si>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</si>
  <si>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</si>
  <si>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</si>
  <si>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</si>
  <si>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</si>
  <si>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</si>
  <si>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</si>
  <si>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</si>
  <si>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</si>
  <si>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</si>
  <si>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</si>
  <si>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</si>
  <si>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</si>
  <si>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</si>
  <si>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</si>
  <si>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</si>
  <si>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</si>
  <si>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</si>
  <si>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</si>
  <si>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</si>
  <si>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</si>
  <si>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</si>
  <si>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</si>
  <si>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</si>
  <si>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</si>
  <si>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</si>
  <si>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</si>
  <si>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</si>
  <si>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</si>
  <si>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</si>
  <si>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</si>
  <si>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</si>
  <si>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</si>
  <si>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</si>
  <si>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</si>
  <si>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</si>
  <si>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</si>
  <si>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</si>
  <si>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</si>
  <si>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</si>
  <si>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</si>
  <si>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</si>
  <si>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</si>
  <si>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</si>
  <si>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</si>
  <si>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</si>
  <si>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</si>
  <si>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</si>
  <si>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</si>
  <si>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</si>
  <si>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</si>
  <si>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</si>
  <si>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</si>
  <si>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</si>
  <si>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</si>
  <si>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</si>
  <si>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</si>
  <si>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</si>
  <si>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</si>
  <si>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</si>
  <si>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</si>
  <si>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</si>
  <si>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</si>
  <si>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</si>
  <si>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</si>
  <si>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</si>
  <si>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</si>
  <si>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</si>
  <si>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</si>
  <si>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</si>
  <si>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</si>
  <si>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</si>
  <si>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</si>
  <si>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</si>
  <si>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</si>
  <si>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</si>
  <si>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</si>
  <si>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</si>
  <si>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</si>
  <si>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</si>
  <si>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</si>
  <si>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</si>
  <si>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</si>
  <si>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</si>
  <si>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</si>
  <si>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</si>
  <si>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</si>
  <si>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</si>
  <si>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</si>
  <si>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</si>
  <si>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</si>
  <si>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</si>
  <si>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</si>
  <si>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</si>
  <si>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</si>
  <si>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</si>
  <si>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</si>
  <si>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</si>
  <si>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</si>
  <si>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</si>
  <si>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</si>
  <si>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</si>
  <si>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</si>
  <si>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</si>
  <si>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</si>
  <si>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</si>
  <si>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</si>
  <si>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</si>
  <si>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</si>
  <si>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</si>
  <si>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</si>
  <si>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</si>
  <si>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</si>
  <si>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</si>
  <si>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</si>
  <si>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</si>
  <si>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</si>
  <si>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</si>
  <si>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</si>
  <si>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</si>
  <si>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</si>
  <si>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</si>
  <si>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</si>
  <si>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</si>
  <si>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</si>
  <si>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</si>
  <si>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</si>
  <si>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</si>
  <si>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</si>
  <si>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</si>
  <si>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</si>
  <si>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</si>
  <si>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</si>
  <si>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</si>
  <si>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</si>
  <si>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</si>
  <si>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</si>
  <si>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</si>
  <si>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</si>
  <si>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</si>
  <si>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</si>
  <si>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</si>
  <si>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</si>
  <si>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</si>
  <si>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</si>
  <si>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</si>
  <si>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</si>
  <si>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</si>
  <si>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</si>
  <si>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</si>
  <si>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</si>
  <si>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</si>
  <si>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</si>
  <si>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</si>
  <si>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</si>
  <si>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</si>
  <si>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</si>
  <si>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</si>
  <si>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</si>
  <si>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</si>
  <si>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</si>
  <si>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</si>
  <si>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</si>
  <si>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</si>
  <si>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</si>
  <si>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</si>
  <si>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</si>
  <si>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</si>
  <si>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</si>
  <si>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</si>
  <si>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</si>
  <si>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</si>
  <si>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</si>
  <si>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</si>
  <si>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</si>
  <si>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</si>
  <si>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</si>
  <si>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</si>
  <si>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</si>
  <si>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</si>
  <si>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</si>
  <si>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</si>
  <si>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</si>
  <si>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</si>
  <si>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</si>
  <si>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</si>
  <si>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</si>
  <si>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</si>
  <si>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</si>
  <si>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</si>
  <si>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</si>
  <si>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</si>
  <si>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</si>
  <si>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</si>
  <si>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</si>
  <si>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</si>
  <si>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</si>
  <si>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</si>
  <si>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</si>
  <si>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</si>
  <si>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</si>
  <si>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</si>
  <si>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</si>
  <si>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</si>
  <si>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</si>
  <si>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</si>
  <si>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</si>
  <si>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</si>
  <si>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</si>
  <si>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</si>
  <si>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</si>
  <si>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</si>
  <si>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</si>
  <si>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</si>
  <si>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</si>
  <si>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</si>
  <si>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</si>
  <si>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</si>
  <si>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</si>
  <si>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</si>
  <si>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</si>
  <si>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</si>
  <si>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</si>
  <si>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</si>
  <si>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</si>
  <si>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</si>
  <si>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</si>
  <si>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</si>
  <si>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</si>
  <si>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</si>
  <si>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</si>
  <si>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</si>
  <si>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</si>
  <si>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</si>
  <si>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</si>
  <si>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</si>
  <si>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</si>
  <si>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</si>
  <si>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</si>
  <si>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</si>
  <si>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</si>
  <si>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</si>
  <si>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</si>
  <si>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</si>
  <si>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</si>
  <si>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</si>
  <si>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</si>
  <si>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</si>
  <si>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</si>
  <si>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</si>
  <si>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</si>
  <si>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</si>
  <si>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</si>
  <si>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</si>
  <si>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</si>
  <si>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</si>
  <si>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</si>
  <si>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</si>
  <si>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</si>
  <si>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</si>
  <si>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</si>
  <si>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</si>
  <si>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</si>
  <si>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</si>
  <si>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</si>
  <si>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</si>
  <si>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</si>
  <si>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</si>
  <si>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</si>
  <si>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</si>
  <si>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</si>
  <si>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</si>
  <si>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</si>
  <si>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</si>
  <si>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</si>
  <si>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</si>
  <si>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</si>
  <si>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</si>
  <si>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</si>
  <si>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</si>
  <si>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</si>
  <si>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</si>
  <si>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</si>
  <si>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</si>
  <si>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</si>
  <si>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</si>
  <si>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</si>
  <si>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</si>
  <si>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</si>
  <si>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</si>
  <si>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</si>
  <si>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</si>
  <si>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</si>
  <si>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</si>
  <si>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</si>
  <si>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</si>
  <si>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</si>
  <si>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</si>
  <si>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</si>
  <si>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</si>
  <si>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</si>
  <si>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</si>
  <si>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</si>
  <si>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</si>
  <si>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</si>
  <si>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</si>
  <si>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</si>
  <si>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</si>
  <si>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</si>
  <si>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</si>
  <si>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</si>
  <si>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</si>
  <si>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</si>
  <si>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</si>
  <si>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</si>
  <si>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</si>
  <si>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</si>
  <si>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</si>
  <si>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</si>
  <si>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</si>
  <si>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</si>
  <si>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</si>
  <si>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</si>
  <si>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</si>
  <si>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</si>
  <si>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</si>
  <si>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</si>
  <si>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</si>
  <si>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</si>
  <si>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</si>
  <si>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</si>
  <si>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</si>
  <si>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</si>
  <si>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</si>
  <si>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</si>
  <si>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</si>
  <si>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</si>
  <si>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</si>
  <si>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</si>
  <si>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</si>
  <si>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</si>
  <si>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</si>
  <si>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</si>
  <si>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</si>
  <si>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</si>
  <si>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</si>
  <si>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</si>
  <si>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</si>
  <si>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</si>
  <si>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</si>
  <si>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</si>
  <si>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</si>
  <si>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</si>
  <si>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</si>
  <si>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</si>
  <si>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</si>
  <si>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</si>
  <si>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</si>
  <si>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</si>
  <si>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</si>
  <si>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</si>
  <si>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</si>
  <si>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</si>
  <si>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</si>
  <si>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</si>
  <si>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</si>
  <si>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</si>
  <si>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</si>
  <si>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</si>
  <si>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</si>
  <si>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</si>
  <si>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</si>
  <si>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</si>
  <si>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</si>
  <si>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</si>
  <si>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</si>
  <si>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</si>
  <si>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</si>
  <si>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</si>
  <si>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</si>
  <si>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</si>
  <si>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</si>
  <si>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</si>
  <si>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</si>
  <si>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</si>
  <si>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</si>
  <si>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</si>
  <si>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</si>
  <si>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</si>
  <si>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</si>
  <si>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</si>
  <si>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</si>
  <si>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</si>
  <si>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</si>
  <si>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</si>
  <si>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</si>
  <si>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</si>
  <si>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</si>
  <si>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</si>
  <si>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</si>
  <si>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</si>
  <si>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</si>
  <si>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</si>
  <si>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</si>
  <si>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</si>
  <si>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</si>
  <si>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</si>
  <si>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</si>
  <si>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</si>
  <si>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</si>
  <si>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</si>
  <si>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</si>
  <si>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</si>
  <si>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</si>
  <si>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</si>
  <si>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</si>
  <si>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</si>
  <si>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</si>
  <si>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</si>
  <si>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</si>
  <si>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</si>
  <si>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</si>
  <si>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</si>
  <si>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</si>
  <si>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</si>
  <si>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</si>
  <si>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</si>
  <si>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</si>
  <si>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</si>
  <si>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</si>
  <si>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</si>
  <si>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</si>
  <si>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</si>
  <si>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</si>
  <si>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</si>
  <si>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</si>
  <si>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</si>
  <si>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</si>
  <si>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</si>
  <si>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</si>
  <si>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</si>
  <si>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</si>
  <si>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</si>
  <si>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</si>
  <si>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</si>
  <si>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</si>
  <si>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</si>
  <si>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</si>
  <si>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</si>
  <si>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</si>
  <si>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</si>
  <si>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</si>
  <si>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</si>
  <si>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</si>
  <si>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</si>
  <si>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</si>
  <si>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</si>
  <si>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</si>
  <si>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</si>
  <si>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</si>
  <si>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</si>
  <si>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</si>
  <si>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</si>
  <si>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</si>
  <si>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</si>
  <si>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</si>
  <si>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</si>
  <si>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</si>
  <si>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</si>
  <si>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</si>
  <si>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</si>
  <si>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</si>
  <si>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</si>
  <si>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</si>
  <si>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</si>
  <si>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</si>
  <si>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</si>
  <si>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</si>
  <si>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</si>
  <si>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</si>
  <si>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</si>
  <si>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</si>
  <si>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</si>
  <si>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</si>
  <si>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</si>
  <si>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</si>
  <si>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</si>
  <si>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</si>
  <si>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</si>
  <si>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</si>
  <si>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</si>
  <si>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</si>
  <si>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</si>
  <si>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</si>
  <si>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</si>
  <si>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</si>
  <si>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</si>
  <si>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</si>
  <si>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</si>
  <si>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</si>
  <si>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</si>
  <si>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</si>
  <si>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</si>
  <si>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</si>
  <si>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</si>
  <si>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</si>
  <si>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</si>
  <si>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</si>
  <si>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</si>
  <si>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</si>
  <si>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</si>
  <si>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</si>
  <si>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</si>
  <si>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</si>
  <si>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</si>
  <si>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</si>
  <si>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</si>
  <si>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</si>
  <si>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</si>
  <si>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</si>
  <si>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</si>
  <si>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</si>
  <si>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</si>
  <si>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</si>
  <si>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https://portal.eias.ru/Portal/DownloadPage.aspx?type=12&amp;guid=cc562df2-7f74-41d0-a596-a6322db41453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</si>
  <si>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</si>
  <si>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</si>
  <si>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</si>
  <si>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товаров,работ,услуг  муниципального  унитарного  предприятия " Уссурийск-Водоканал" Уссурийского  городского округа (ссылка);     Федеральный  закон  от  18 июля  2011 года № 223-ФЗ " О закупках  товаров,работ,услуг  отдельными  видами  юридических  лиц",  Федеральный  закон  от  05.04.2013г.№ 44-ФЗ  "О контрактной системе в сфере закупок товаров, работ, услуг для обеспечения государственных и муниципальных   и нужд" </t>
  </si>
  <si>
    <t>https://portal.eias.ru/Portal/DownloadPage.aspx?type=12&amp;guid=ada54c8f-d2b9-4a18-865d-bdcf7a13cef3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</si>
  <si>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</si>
  <si>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</si>
  <si>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https://zakupki.gov.ru/223/clause/public/order-clause/info/documents.html?clauseId=2026&amp;clauseInfoId=590978&amp;versioned=&amp;activeTab=1&amp;epz=true</t>
  </si>
  <si>
    <t xml:space="preserve"> Сведения о проводимых закупках (в том числе и «План закупок» и « План  график» находятся в свободном доступе в ЕИС  на сайте https://zakupki.gov.ru </t>
  </si>
  <si>
    <t>https://zakupki.gov.ru/epz/orderplan/pg2020/documents-info.html?plan-number=202005203000008003</t>
  </si>
  <si>
    <t>Договоры, заключенные    по  результатам  закупки  товаров, работ,услуг</t>
  </si>
  <si>
    <t>https://zakupki.gov.ru/epz/main/public/home.html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</si>
  <si>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</si>
  <si>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</si>
  <si>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</si>
  <si>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</si>
  <si>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</si>
  <si>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</si>
  <si>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</si>
  <si>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</si>
  <si>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</si>
  <si>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</si>
  <si>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</si>
  <si>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</si>
  <si>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</si>
  <si>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</si>
  <si>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</si>
  <si>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</si>
  <si>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</si>
  <si>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</si>
  <si>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</si>
  <si>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</si>
  <si>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</si>
  <si>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</si>
  <si>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</si>
  <si>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</si>
  <si>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</si>
  <si>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</si>
  <si>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</si>
  <si>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</si>
  <si>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</si>
  <si>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</si>
  <si>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</si>
  <si>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</si>
  <si>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</si>
  <si>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</si>
  <si>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</si>
  <si>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</si>
  <si>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</si>
  <si>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</si>
  <si>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</si>
  <si>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</si>
  <si>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</si>
  <si>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</si>
  <si>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</si>
  <si>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</si>
  <si>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</si>
  <si>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</si>
  <si>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</si>
  <si>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</si>
  <si>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</si>
  <si>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</si>
  <si>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</si>
  <si>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</si>
  <si>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</si>
  <si>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</si>
  <si>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</si>
  <si>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</si>
  <si>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</si>
  <si>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</si>
  <si>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</si>
  <si>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</si>
  <si>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</si>
  <si>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</si>
  <si>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</si>
  <si>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</si>
  <si>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</si>
  <si>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</si>
  <si>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</si>
  <si>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</si>
  <si>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</si>
  <si>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</si>
  <si>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</si>
  <si>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</si>
  <si>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</si>
  <si>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</si>
  <si>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</si>
  <si>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</si>
  <si>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</si>
  <si>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</si>
  <si>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</si>
  <si>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</si>
  <si>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</si>
  <si>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</si>
  <si>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</si>
  <si>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</si>
  <si>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</si>
  <si>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</si>
  <si>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</si>
  <si>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</si>
  <si>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</si>
  <si>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</si>
  <si>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</si>
  <si>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</si>
  <si>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</si>
  <si>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</si>
  <si>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</si>
  <si>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</si>
  <si>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</si>
  <si>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</si>
  <si>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</si>
  <si>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</si>
  <si>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</si>
  <si>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</si>
  <si>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</si>
  <si>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</si>
  <si>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</si>
  <si>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</si>
  <si>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</si>
  <si>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</si>
  <si>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</si>
  <si>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</si>
  <si>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</si>
  <si>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</si>
  <si>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</si>
  <si>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</si>
  <si>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</si>
  <si>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</si>
  <si>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</si>
  <si>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</si>
  <si>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</si>
  <si>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</si>
  <si>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</si>
  <si>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</si>
  <si>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</si>
  <si>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</si>
  <si>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</si>
  <si>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</si>
  <si>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</si>
  <si>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</si>
  <si>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</si>
  <si>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</si>
  <si>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</si>
  <si>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</si>
  <si>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</si>
  <si>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</si>
  <si>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</si>
  <si>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</si>
  <si>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</si>
  <si>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</si>
  <si>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</si>
  <si>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</si>
  <si>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</si>
  <si>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</si>
  <si>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</si>
  <si>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</si>
  <si>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</si>
  <si>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</si>
  <si>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</si>
  <si>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</si>
  <si>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</si>
  <si>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</si>
  <si>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</si>
  <si>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</si>
  <si>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</si>
  <si>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</si>
  <si>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</si>
  <si>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</si>
  <si>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</si>
  <si>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</si>
  <si>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</si>
  <si>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</si>
  <si>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</si>
  <si>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</si>
  <si>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</si>
  <si>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</si>
  <si>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</si>
  <si>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</si>
  <si>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</si>
  <si>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</si>
  <si>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</si>
  <si>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</si>
  <si>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</si>
  <si>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</si>
  <si>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</si>
  <si>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</si>
  <si>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</si>
  <si>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</si>
  <si>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</si>
  <si>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</si>
  <si>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</si>
  <si>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</si>
  <si>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</si>
  <si>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</si>
  <si>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</si>
  <si>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</si>
  <si>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</si>
  <si>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</si>
  <si>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</si>
  <si>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</si>
  <si>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</si>
  <si>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</si>
  <si>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</si>
  <si>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</si>
  <si>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</si>
  <si>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</si>
  <si>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</si>
  <si>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</si>
  <si>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</si>
  <si>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</si>
  <si>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</si>
  <si>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</si>
  <si>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</si>
  <si>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</si>
  <si>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</si>
  <si>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</si>
  <si>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</si>
  <si>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</si>
  <si>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</si>
  <si>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</si>
  <si>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</si>
  <si>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</si>
  <si>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</si>
  <si>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</si>
  <si>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</si>
  <si>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</si>
  <si>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</si>
  <si>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</si>
  <si>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</si>
  <si>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</si>
  <si>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</si>
  <si>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</si>
  <si>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</si>
  <si>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</si>
  <si>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</si>
  <si>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</si>
  <si>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</si>
  <si>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</si>
  <si>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</si>
  <si>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</si>
  <si>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</si>
  <si>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</si>
  <si>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</si>
  <si>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</si>
  <si>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</si>
  <si>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</si>
  <si>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</si>
  <si>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</si>
  <si>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</si>
  <si>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</si>
  <si>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</si>
  <si>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</si>
  <si>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</si>
  <si>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</si>
  <si>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</si>
  <si>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</si>
  <si>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</si>
  <si>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</si>
  <si>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</si>
  <si>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</si>
  <si>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</si>
  <si>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</si>
  <si>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</si>
  <si>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</si>
  <si>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</si>
  <si>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</si>
  <si>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</si>
  <si>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</si>
  <si>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</si>
  <si>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</si>
  <si>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</si>
  <si>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</si>
  <si>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</si>
  <si>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</si>
  <si>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</si>
  <si>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</si>
  <si>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</si>
  <si>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</si>
  <si>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</si>
  <si>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</si>
  <si>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</si>
  <si>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</si>
  <si>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</si>
  <si>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</si>
  <si>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</si>
  <si>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</si>
  <si>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</si>
  <si>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</si>
  <si>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</si>
  <si>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</si>
  <si>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</si>
  <si>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</si>
  <si>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</si>
  <si>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</si>
  <si>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</si>
  <si>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</si>
  <si>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</si>
  <si>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</si>
  <si>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</si>
  <si>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</si>
  <si>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</si>
  <si>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</si>
  <si>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</si>
  <si>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</si>
  <si>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</si>
  <si>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</si>
  <si>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</si>
  <si>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</si>
  <si>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</si>
  <si>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</si>
  <si>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</si>
  <si>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</si>
  <si>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</si>
  <si>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</si>
  <si>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</si>
  <si>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</si>
  <si>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</si>
  <si>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</si>
  <si>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</si>
  <si>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</si>
  <si>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</si>
  <si>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</si>
  <si>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</si>
  <si>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</si>
  <si>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</si>
  <si>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</si>
  <si>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</si>
  <si>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</si>
  <si>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</si>
  <si>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</si>
  <si>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</si>
  <si>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</si>
  <si>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</si>
  <si>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</si>
  <si>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</si>
  <si>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</si>
  <si>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</si>
  <si>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</si>
  <si>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</si>
  <si>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</si>
  <si>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</si>
  <si>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</si>
  <si>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</si>
  <si>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</si>
  <si>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</si>
  <si>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</si>
  <si>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</si>
  <si>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</si>
  <si>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</si>
  <si>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</si>
  <si>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</si>
  <si>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</si>
  <si>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</si>
  <si>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</si>
  <si>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</si>
  <si>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</si>
  <si>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</si>
  <si>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</si>
  <si>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</si>
  <si>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</si>
  <si>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</si>
  <si>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</si>
  <si>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</si>
  <si>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</si>
  <si>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</si>
  <si>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</si>
  <si>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</si>
  <si>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</si>
  <si>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</si>
  <si>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</si>
  <si>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</si>
  <si>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</si>
  <si>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</si>
  <si>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</si>
  <si>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</si>
  <si>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</si>
  <si>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</si>
  <si>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</si>
  <si>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</si>
  <si>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</si>
  <si>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</si>
  <si>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</si>
  <si>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</si>
  <si>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</si>
  <si>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</si>
  <si>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</si>
  <si>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</si>
  <si>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</si>
  <si>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</si>
  <si>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</si>
  <si>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</si>
  <si>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</si>
  <si>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</si>
  <si>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</si>
  <si>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</si>
  <si>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</si>
  <si>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</si>
  <si>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</si>
  <si>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</si>
  <si>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</si>
  <si>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</si>
  <si>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</si>
  <si>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</si>
  <si>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</si>
  <si>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</si>
  <si>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</si>
  <si>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</si>
  <si>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</si>
  <si>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</si>
  <si>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</si>
  <si>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</si>
  <si>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</si>
  <si>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</si>
  <si>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</si>
  <si>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</si>
  <si>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</si>
  <si>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</si>
  <si>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</si>
  <si>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</si>
  <si>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</si>
  <si>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</si>
  <si>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</si>
  <si>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</si>
  <si>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</si>
  <si>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</si>
  <si>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</si>
  <si>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</si>
  <si>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</si>
  <si>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</si>
  <si>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</si>
  <si>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</si>
  <si>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</si>
  <si>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</si>
  <si>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</si>
  <si>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</si>
  <si>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</si>
  <si>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</si>
  <si>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</si>
  <si>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</si>
  <si>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</si>
  <si>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</si>
  <si>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</si>
  <si>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</si>
  <si>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</si>
  <si>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</si>
  <si>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</si>
  <si>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</si>
  <si>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</si>
  <si>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</si>
  <si>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</si>
  <si>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</si>
  <si>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</si>
  <si>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</si>
  <si>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</si>
  <si>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</si>
  <si>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</si>
  <si>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</si>
  <si>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</si>
  <si>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</si>
  <si>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</si>
  <si>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</si>
  <si>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</si>
  <si>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</si>
  <si>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</si>
  <si>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</si>
  <si>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</si>
  <si>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</si>
  <si>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</si>
  <si>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</si>
  <si>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</si>
  <si>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</si>
  <si>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</si>
  <si>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</si>
  <si>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</si>
  <si>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</si>
  <si>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</si>
  <si>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</si>
  <si>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</si>
  <si>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</si>
  <si>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</si>
  <si>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</si>
  <si>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</si>
  <si>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</si>
  <si>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</si>
  <si>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</si>
  <si>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</si>
  <si>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</si>
  <si>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</si>
  <si>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</si>
  <si>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</si>
  <si>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</si>
  <si>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</si>
  <si>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</si>
  <si>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</si>
  <si>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</si>
  <si>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</si>
  <si>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</si>
  <si>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</si>
  <si>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</si>
  <si>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</si>
  <si>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</si>
  <si>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</si>
  <si>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</si>
  <si>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</si>
  <si>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</si>
  <si>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</si>
  <si>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</si>
  <si>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</si>
  <si>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</si>
  <si>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</si>
  <si>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</si>
  <si>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</si>
  <si>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</si>
  <si>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</si>
  <si>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</si>
  <si>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</si>
  <si>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</si>
  <si>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</si>
  <si>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</si>
  <si>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</si>
  <si>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</si>
  <si>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</si>
  <si>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</si>
  <si>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</si>
  <si>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</si>
  <si>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</si>
  <si>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</si>
  <si>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</si>
  <si>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</si>
  <si>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</si>
  <si>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</si>
  <si>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</si>
  <si>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</si>
  <si>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</si>
  <si>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</si>
  <si>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</si>
  <si>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</si>
  <si>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</si>
  <si>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</si>
  <si>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</si>
  <si>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</si>
  <si>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</si>
  <si>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</si>
  <si>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</si>
  <si>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</si>
  <si>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</si>
  <si>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</si>
  <si>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</si>
  <si>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</si>
  <si>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</si>
  <si>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</si>
  <si>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</si>
  <si>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</si>
  <si>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</si>
  <si>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</si>
  <si>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</si>
  <si>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</si>
  <si>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</si>
  <si>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</si>
  <si>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</si>
  <si>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</si>
  <si>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</si>
  <si>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</si>
  <si>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</si>
  <si>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</si>
  <si>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</si>
  <si>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</si>
  <si>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</si>
  <si>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</si>
  <si>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</si>
  <si>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</si>
  <si>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</si>
  <si>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</si>
  <si>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</si>
  <si>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</si>
  <si>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</si>
  <si>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</si>
  <si>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</si>
  <si>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</si>
  <si>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</si>
  <si>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</si>
  <si>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</si>
  <si>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</si>
  <si>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</si>
  <si>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</si>
  <si>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</si>
  <si>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</si>
  <si>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</si>
  <si>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</si>
  <si>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</si>
  <si>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</si>
  <si>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</si>
  <si>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</si>
  <si>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</si>
  <si>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</si>
  <si>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</si>
  <si>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</si>
  <si>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</si>
  <si>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</si>
  <si>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</si>
  <si>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</si>
  <si>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</si>
  <si>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</si>
  <si>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</si>
  <si>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</si>
  <si>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</si>
  <si>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</si>
  <si>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</si>
  <si>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</si>
  <si>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</si>
  <si>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</si>
  <si>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</si>
  <si>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</si>
  <si>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</si>
  <si>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</si>
  <si>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</si>
  <si>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</si>
  <si>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</si>
  <si>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</si>
  <si>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</si>
  <si>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</si>
  <si>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</si>
  <si>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</si>
  <si>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</si>
  <si>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</si>
  <si>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</si>
  <si>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</si>
  <si>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</si>
  <si>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</si>
  <si>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</si>
  <si>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</si>
  <si>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</si>
  <si>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</si>
  <si>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</si>
  <si>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</si>
  <si>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</si>
  <si>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</si>
  <si>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</si>
  <si>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</si>
  <si>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</si>
  <si>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</si>
  <si>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</si>
  <si>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</si>
  <si>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</si>
  <si>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</si>
  <si>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</si>
  <si>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</si>
  <si>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</si>
  <si>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</si>
  <si>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</si>
  <si>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</si>
  <si>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</si>
  <si>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</si>
  <si>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</si>
  <si>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</si>
  <si>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</si>
  <si>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</si>
  <si>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</si>
  <si>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</si>
  <si>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</si>
  <si>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</si>
  <si>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</si>
  <si>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</si>
  <si>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</si>
  <si>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</si>
  <si>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</si>
  <si>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</si>
  <si>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</si>
  <si>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</si>
  <si>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</si>
  <si>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</si>
  <si>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</si>
  <si>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</si>
  <si>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</si>
  <si>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</si>
  <si>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</si>
  <si>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</si>
  <si>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</si>
  <si>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</si>
  <si>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</si>
  <si>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</si>
  <si>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</si>
  <si>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</si>
  <si>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</si>
  <si>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</si>
  <si>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</si>
  <si>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</si>
  <si>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</si>
  <si>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</si>
  <si>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</si>
  <si>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</si>
  <si>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</si>
  <si>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</si>
  <si>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</si>
  <si>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</si>
  <si>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</si>
  <si>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</si>
  <si>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</si>
  <si>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</si>
  <si>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</si>
  <si>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</si>
  <si>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</si>
  <si>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</si>
  <si>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</si>
  <si>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</si>
  <si>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</si>
  <si>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</si>
  <si>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</si>
  <si>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</si>
  <si>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</si>
  <si>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</si>
  <si>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</si>
  <si>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</si>
  <si>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</si>
  <si>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</si>
  <si>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</si>
  <si>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</si>
  <si>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</si>
  <si>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</si>
  <si>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</si>
  <si>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</si>
  <si>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</si>
  <si>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</si>
  <si>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</si>
  <si>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</si>
  <si>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</si>
  <si>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</si>
  <si>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</si>
  <si>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</si>
  <si>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</si>
  <si>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</si>
  <si>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</si>
  <si>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</si>
  <si>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</si>
  <si>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</si>
  <si>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</si>
  <si>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</si>
  <si>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</si>
  <si>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</si>
  <si>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</si>
  <si>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</si>
  <si>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</si>
  <si>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</si>
  <si>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</si>
  <si>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</si>
  <si>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</si>
  <si>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</si>
  <si>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</si>
  <si>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</si>
  <si>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</si>
  <si>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2025 год ( долгосрочный  период  регулирования  2024-2028 г.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</si>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</sst>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57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il@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c562df2-7f74-41d0-a596-a6322db414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ada54c8f-d2b9-4a18-865d-bdcf7a13cef3" TargetMode="External"/><Relationship Id="rId3" Type="http://schemas.openxmlformats.org/officeDocument/2006/relationships/hyperlink" Target="https://zakupki.gov.ru/223/clause/public/order-clause/info/documents.html?clauseId=2026&amp;clauseInfoId=590978&amp;versioned=&amp;activeTab=1&amp;epz=true" TargetMode="External"/><Relationship Id="rId4" Type="http://schemas.openxmlformats.org/officeDocument/2006/relationships/hyperlink" Target="https://zakupki.gov.ru/epz/orderplan/pg2020/documents-info.html?plan-number=202005203000008003" TargetMode="External"/><Relationship Id="rId5" Type="http://schemas.openxmlformats.org/officeDocument/2006/relationships/hyperlink" Target="https://zakupki.gov.ru/epz/main/public/home.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C6D54-7045-DE9F-6BA5-144CCBDBF03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097" width="5.421875" customWidth="1"/>
    <col min="2" max="2" style="13097" width="9.140625" customWidth="1"/>
    <col min="3" max="3" style="13097" width="16.421875" customWidth="1"/>
    <col min="4" max="25" style="13097" width="6.28125" customWidth="1"/>
    <col min="26" max="28" style="13097"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A0D543-F18E-0FD3-DF5C-E3B8E1574329}" mc:Ignorable="x14ac xr xr2 xr3">
  <sheetPr>
    <tabColor rgb="FFCCCCFF"/>
  </sheetPr>
  <dimension ref="A1:Q79"/>
  <sheetViews>
    <sheetView topLeftCell="A1" showGridLines="0" zoomScale="90" workbookViewId="0">
      <selection activeCell="I69" sqref="I69"/>
    </sheetView>
  </sheetViews>
  <sheetFormatPr defaultColWidth="9.140625" customHeight="1" defaultRowHeight="11.25"/>
  <cols>
    <col min="1" max="1" style="13216" width="10.7109375" hidden="1" customWidth="1"/>
    <col min="2" max="2" style="13217" width="10.7109375" hidden="1" customWidth="1"/>
    <col min="3" max="3" style="13218" width="3.00390625" customWidth="1"/>
    <col min="4" max="4" style="13141" width="1.00390625" customWidth="1"/>
    <col min="5" max="6" style="13141" width="55.00390625" customWidth="1"/>
    <col min="7" max="7" style="13219" width="1.00390625" customWidth="1"/>
    <col min="8" max="8" style="13141" width="18.00390625" hidden="1" customWidth="1"/>
    <col min="9" max="9" style="13220" width="59.00390625" customWidth="1"/>
    <col min="10" max="10" style="13221" width="52.140625" hidden="1" customWidth="1"/>
    <col min="11" max="11" style="13141" width="8.00390625" customWidth="1"/>
    <col min="12" max="12" style="13141" width="77.00390625" customWidth="1"/>
    <col min="13" max="16" style="13141" width="8.00390625" customWidth="1"/>
    <col min="17" max="17" style="13141" width="12.00390625" hidden="1" customWidth="1"/>
  </cols>
  <sheetData>
    <row s="13098" customFormat="1" customHeight="1" ht="3">
      <c r="A1" s="1010"/>
      <c r="B1" s="468"/>
      <c r="F1" s="469" t="s">
        <v>13</v>
      </c>
      <c r="G1" s="638"/>
      <c r="H1" s="298"/>
      <c r="I1" s="638"/>
      <c r="J1" s="1098"/>
      <c r="Q1" s="469" t="s">
        <v>14</v>
      </c>
    </row>
    <row s="13105" customFormat="1" customHeight="1" ht="14.25">
      <c r="A2" s="1010"/>
      <c r="B2" s="325"/>
      <c r="E2" s="1967" t="str">
        <f>code</f>
        <v>Код отчёта: PP108.OPEN.INFO.REQUEST.COLDVSNA.EIAS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3116"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3116"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3116" customFormat="1" customHeight="1" ht="6.3">
      <c r="A8" s="1012"/>
      <c r="B8" s="459"/>
      <c r="C8" s="460"/>
      <c r="D8" s="466"/>
      <c r="E8" s="464"/>
      <c r="F8" s="467"/>
      <c r="G8" s="304"/>
      <c r="H8" s="636"/>
      <c r="I8" s="638"/>
      <c r="J8" s="1104"/>
      <c r="Q8" s="463">
        <v>6</v>
      </c>
    </row>
    <row s="13141"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3116"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45292</v>
      </c>
      <c r="G11" s="304"/>
      <c r="H11" s="1000" t="s">
        <v>22</v>
      </c>
      <c r="J11" s="1103" t="s">
        <v>23</v>
      </c>
      <c r="Q11" s="301">
        <v>0</v>
      </c>
    </row>
    <row customHeight="1" ht="22.5">
      <c r="A12" s="2325"/>
      <c r="D12" s="302"/>
      <c r="E12" s="1392" t="s">
        <v>24</v>
      </c>
      <c r="F12" s="2957">
        <v>47118</v>
      </c>
      <c r="G12" s="300"/>
      <c r="J12" s="1103" t="s">
        <v>25</v>
      </c>
      <c r="Q12" s="301">
        <v>0</v>
      </c>
    </row>
    <row s="13141" customFormat="1" customHeight="1" ht="22.5" hidden="1">
      <c r="A13" s="1015" t="s">
        <v>26</v>
      </c>
      <c r="B13" s="325"/>
      <c r="C13" s="635"/>
      <c r="D13" s="637"/>
      <c r="E13" s="2002" t="s">
        <v>27</v>
      </c>
      <c r="F13" s="1959" t="s">
        <v>28</v>
      </c>
      <c r="G13" s="304"/>
      <c r="H13" s="997"/>
      <c r="I13" s="638"/>
      <c r="J13" s="2003" t="s">
        <v>29</v>
      </c>
      <c r="Q13" s="636">
        <v>0</v>
      </c>
    </row>
    <row s="13141" customFormat="1" customHeight="1" ht="27" hidden="1">
      <c r="A14" s="1015" t="s">
        <v>30</v>
      </c>
      <c r="B14" s="325"/>
      <c r="C14" s="635"/>
      <c r="D14" s="637"/>
      <c r="E14" s="1392" t="s">
        <v>31</v>
      </c>
      <c r="F14" s="1994"/>
      <c r="G14" s="304"/>
      <c r="H14" s="997"/>
      <c r="I14" s="638"/>
      <c r="J14" s="1103" t="s">
        <v>32</v>
      </c>
      <c r="Q14" s="636">
        <v>0</v>
      </c>
    </row>
    <row s="13141" customFormat="1" customHeight="1" ht="19.5" hidden="1">
      <c r="A15" s="1015" t="s">
        <v>33</v>
      </c>
      <c r="B15" s="325"/>
      <c r="C15" s="635"/>
      <c r="D15" s="637"/>
      <c r="E15" s="1392" t="s">
        <v>34</v>
      </c>
      <c r="F15" s="1994"/>
      <c r="G15" s="304"/>
      <c r="H15" s="997"/>
      <c r="I15" s="638"/>
      <c r="J15" s="1103" t="s">
        <v>35</v>
      </c>
      <c r="Q15" s="636">
        <v>0</v>
      </c>
    </row>
    <row s="13116" customFormat="1" customHeight="1" ht="6.3">
      <c r="A16" s="1012"/>
      <c r="B16" s="459"/>
      <c r="C16" s="460"/>
      <c r="D16" s="466"/>
      <c r="E16" s="464"/>
      <c r="F16" s="467"/>
      <c r="G16" s="304"/>
      <c r="H16" s="636"/>
      <c r="I16" s="638"/>
      <c r="J16" s="1101"/>
      <c r="Q16" s="463">
        <v>6</v>
      </c>
    </row>
    <row customHeight="1" ht="21">
      <c r="D17" s="302"/>
      <c r="E17" s="618" t="s">
        <v>36</v>
      </c>
      <c r="F17" s="2965" t="s">
        <v>37</v>
      </c>
      <c r="G17" s="300"/>
      <c r="H17" s="1000" t="s">
        <v>22</v>
      </c>
      <c r="Q17" s="301">
        <v>20</v>
      </c>
    </row>
    <row customHeight="1" ht="25.5">
      <c r="D18" s="302"/>
      <c r="E18" s="2002" t="s">
        <v>38</v>
      </c>
      <c r="F18" s="2966">
        <v>45415</v>
      </c>
      <c r="G18" s="300"/>
      <c r="I18" s="1001"/>
      <c r="J18" s="2324" t="s">
        <v>39</v>
      </c>
      <c r="Q18" s="301">
        <v>0</v>
      </c>
    </row>
    <row customHeight="1" ht="25.5">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966">
        <v>45658</v>
      </c>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45044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c r="D26" s="302"/>
      <c r="E26" s="618" t="str">
        <f>"Дата "&amp;IF(TEMPLATE_GROUP="P","принятия решения","подачи заявления")&amp;" об изменении тарифов"</f>
        <v>Дата подачи заявления об изменении тарифов</v>
      </c>
      <c r="F26" s="2966">
        <v>45408</v>
      </c>
      <c r="G26" s="300"/>
      <c r="Q26" s="301">
        <v>0</v>
      </c>
    </row>
    <row customHeight="1" ht="19.5">
      <c r="D27" s="302"/>
      <c r="E27" s="1392" t="str">
        <f>"Номер "&amp;IF(TEMPLATE_GROUP="P","принятия решения","заявления")&amp;" об изменении тарифов"</f>
        <v>Номер заявления об изменении тарифов</v>
      </c>
      <c r="F27" s="2974" t="s">
        <v>45</v>
      </c>
      <c r="G27" s="300"/>
      <c r="Q27" s="301">
        <v>0</v>
      </c>
    </row>
    <row customHeight="1" ht="24.75" hidden="1">
      <c r="D28" s="302"/>
      <c r="E28" s="618" t="s">
        <v>46</v>
      </c>
      <c r="F28" s="445"/>
      <c r="G28" s="300"/>
      <c r="Q28" s="301">
        <v>0</v>
      </c>
    </row>
    <row customHeight="1" ht="19.5" hidden="1">
      <c r="D29" s="302"/>
      <c r="E29" s="618" t="s">
        <v>43</v>
      </c>
      <c r="F29" s="445"/>
      <c r="G29" s="300"/>
      <c r="Q29" s="301">
        <v>0</v>
      </c>
    </row>
    <row s="13116"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47</v>
      </c>
      <c r="G31" s="1003"/>
      <c r="Q31" s="301">
        <v>20</v>
      </c>
    </row>
    <row customHeight="1" ht="21" hidden="1">
      <c r="C32" s="305"/>
      <c r="D32" s="306"/>
      <c r="E32" s="619" t="s">
        <v>48</v>
      </c>
      <c r="F32" s="444"/>
      <c r="G32" s="1003"/>
      <c r="Q32" s="301">
        <v>20</v>
      </c>
    </row>
    <row customHeight="1" ht="21">
      <c r="C33" s="305"/>
      <c r="D33" s="306"/>
      <c r="E33" s="618" t="s">
        <v>49</v>
      </c>
      <c r="F33" s="444" t="s">
        <v>50</v>
      </c>
      <c r="G33" s="1003"/>
      <c r="Q33" s="301">
        <v>20</v>
      </c>
    </row>
    <row customHeight="1" ht="21">
      <c r="C34" s="305"/>
      <c r="D34" s="306"/>
      <c r="E34" s="618" t="s">
        <v>51</v>
      </c>
      <c r="F34" s="444" t="s">
        <v>52</v>
      </c>
      <c r="G34" s="1003"/>
      <c r="H34" s="307"/>
      <c r="Q34" s="301">
        <v>20</v>
      </c>
    </row>
    <row s="13116" customFormat="1" customHeight="1" ht="11.549999999999999">
      <c r="A35" s="1012"/>
      <c r="B35" s="459"/>
      <c r="C35" s="460"/>
      <c r="D35" s="466"/>
      <c r="E35" s="464"/>
      <c r="F35" s="467"/>
      <c r="G35" s="304"/>
      <c r="H35" s="636"/>
      <c r="I35" s="638"/>
      <c r="J35" s="1101"/>
      <c r="Q35" s="463">
        <v>11</v>
      </c>
    </row>
    <row customHeight="1" ht="19.5" hidden="1">
      <c r="A36" s="1106"/>
      <c r="D36" s="306"/>
      <c r="E36" s="618" t="s">
        <v>53</v>
      </c>
      <c r="F36" s="575"/>
      <c r="G36" s="304"/>
      <c r="Q36" s="301">
        <v>0</v>
      </c>
    </row>
    <row customHeight="1" ht="21">
      <c r="A37" s="1106"/>
      <c r="D37" s="306"/>
      <c r="E37" s="618" t="s">
        <v>54</v>
      </c>
      <c r="F37" s="2984" t="s">
        <v>55</v>
      </c>
      <c r="G37" s="304"/>
      <c r="Q37" s="301">
        <v>20</v>
      </c>
    </row>
    <row s="13116"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3116" customFormat="1" customHeight="1" ht="6" hidden="1">
      <c r="A40" s="1011"/>
      <c r="B40" s="653"/>
      <c r="C40" s="654"/>
      <c r="D40" s="655"/>
      <c r="E40" s="656"/>
      <c r="F40" s="1280"/>
      <c r="G40" s="300"/>
      <c r="H40" s="636"/>
      <c r="I40" s="638"/>
      <c r="J40" s="1103"/>
      <c r="Q40" s="657">
        <v>6</v>
      </c>
    </row>
    <row s="13141"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7" t="s">
        <v>19</v>
      </c>
      <c r="G41" s="300"/>
      <c r="I41" s="638"/>
      <c r="J41" s="1103"/>
      <c r="Q41" s="636">
        <v>0</v>
      </c>
    </row>
    <row s="13116" customFormat="1" customHeight="1" ht="6" hidden="1">
      <c r="A42" s="1011"/>
      <c r="B42" s="653"/>
      <c r="C42" s="654"/>
      <c r="D42" s="655"/>
      <c r="E42" s="656"/>
      <c r="F42" s="1280"/>
      <c r="G42" s="300"/>
      <c r="H42" s="636"/>
      <c r="I42" s="638"/>
      <c r="J42" s="1101"/>
      <c r="Q42" s="657">
        <v>0</v>
      </c>
    </row>
    <row s="13141" customFormat="1" customHeight="1" ht="27" hidden="1">
      <c r="A43" s="1011"/>
      <c r="B43" s="640"/>
      <c r="C43" s="635"/>
      <c r="D43" s="637"/>
      <c r="E43" s="618" t="s">
        <v>57</v>
      </c>
      <c r="F43" s="937" t="s">
        <v>19</v>
      </c>
      <c r="G43" s="300"/>
      <c r="I43" s="638"/>
      <c r="J43" s="1103"/>
      <c r="Q43" s="636">
        <v>0</v>
      </c>
    </row>
    <row s="13141" customFormat="1" customHeight="1" ht="27" hidden="1">
      <c r="A44" s="1011"/>
      <c r="B44" s="640"/>
      <c r="C44" s="635"/>
      <c r="D44" s="637"/>
      <c r="E44" s="1392" t="s">
        <v>58</v>
      </c>
      <c r="F44" s="2115"/>
      <c r="G44" s="300"/>
      <c r="I44" s="638"/>
      <c r="J44" s="1103"/>
      <c r="Q44" s="636">
        <v>0</v>
      </c>
    </row>
    <row s="13116" customFormat="1" customHeight="1" ht="6" hidden="1">
      <c r="A45" s="1011"/>
      <c r="B45" s="653"/>
      <c r="C45" s="654"/>
      <c r="D45" s="655"/>
      <c r="E45" s="656"/>
      <c r="F45" s="1280"/>
      <c r="G45" s="300"/>
      <c r="H45" s="636"/>
      <c r="I45" s="638"/>
      <c r="J45" s="1103"/>
      <c r="Q45" s="657">
        <v>0</v>
      </c>
    </row>
    <row s="13116" customFormat="1" customHeight="1" ht="24.75" hidden="1">
      <c r="A46" s="1011"/>
      <c r="B46" s="653"/>
      <c r="C46" s="654"/>
      <c r="D46" s="655"/>
      <c r="E46" s="1392" t="s">
        <v>59</v>
      </c>
      <c r="F46" s="937" t="s">
        <v>19</v>
      </c>
      <c r="G46" s="300"/>
      <c r="H46" s="636"/>
      <c r="I46" s="638"/>
      <c r="J46" s="1103"/>
      <c r="Q46" s="657">
        <v>0</v>
      </c>
    </row>
    <row s="13141" customFormat="1" customHeight="1" ht="24.75" hidden="1">
      <c r="A47" s="1011"/>
      <c r="B47" s="640"/>
      <c r="C47" s="635"/>
      <c r="D47" s="637"/>
      <c r="E47" s="1392" t="s">
        <v>60</v>
      </c>
      <c r="F47" s="937" t="s">
        <v>19</v>
      </c>
      <c r="G47" s="300"/>
      <c r="I47" s="638"/>
      <c r="J47" s="1103"/>
      <c r="Q47" s="636">
        <v>0</v>
      </c>
    </row>
    <row s="13116"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7"/>
      <c r="G49" s="300"/>
      <c r="Q49" s="301">
        <v>0</v>
      </c>
    </row>
    <row s="13116" customFormat="1" customHeight="1" ht="6" hidden="1">
      <c r="A50" s="1012"/>
      <c r="B50" s="653"/>
      <c r="C50" s="654"/>
      <c r="D50" s="466"/>
      <c r="E50" s="464"/>
      <c r="F50" s="467"/>
      <c r="G50" s="304"/>
      <c r="H50" s="636"/>
      <c r="I50" s="638"/>
      <c r="J50" s="1103"/>
      <c r="Q50" s="657">
        <v>0</v>
      </c>
    </row>
    <row s="13141" customFormat="1" customHeight="1" ht="28.5" hidden="1">
      <c r="A51" s="1013"/>
      <c r="B51" s="640"/>
      <c r="C51" s="757"/>
      <c r="D51" s="758"/>
      <c r="E51" s="618" t="s">
        <v>61</v>
      </c>
      <c r="F51" s="937" t="s">
        <v>19</v>
      </c>
      <c r="G51" s="759"/>
      <c r="I51" s="761"/>
      <c r="J51" s="1105"/>
      <c r="P51" s="762"/>
      <c r="Q51" s="760">
        <v>0</v>
      </c>
    </row>
    <row s="13116" customFormat="1" customHeight="1" ht="6" hidden="1">
      <c r="A52" s="1012"/>
      <c r="B52" s="653"/>
      <c r="C52" s="654"/>
      <c r="D52" s="466"/>
      <c r="E52" s="464"/>
      <c r="F52" s="467"/>
      <c r="G52" s="304"/>
      <c r="H52" s="636"/>
      <c r="I52" s="638"/>
      <c r="J52" s="1101"/>
      <c r="Q52" s="657">
        <v>0</v>
      </c>
    </row>
    <row s="13141" customFormat="1" customHeight="1" ht="27" hidden="1">
      <c r="A53" s="1013"/>
      <c r="B53" s="640"/>
      <c r="C53" s="757"/>
      <c r="D53" s="758"/>
      <c r="E53" s="618" t="s">
        <v>62</v>
      </c>
      <c r="F53" s="1275" t="s">
        <v>19</v>
      </c>
      <c r="G53" s="759"/>
      <c r="I53" s="761"/>
      <c r="J53" s="1105"/>
      <c r="P53" s="762"/>
      <c r="Q53" s="760">
        <v>0</v>
      </c>
    </row>
    <row s="13141" customFormat="1" customHeight="1" ht="27" hidden="1">
      <c r="A54" s="1013"/>
      <c r="B54" s="640"/>
      <c r="C54" s="757"/>
      <c r="D54" s="758"/>
      <c r="E54" s="618" t="s">
        <v>63</v>
      </c>
      <c r="F54" s="2001"/>
      <c r="G54" s="759"/>
      <c r="I54" s="761"/>
      <c r="J54" s="1105"/>
      <c r="P54" s="762"/>
      <c r="Q54" s="760">
        <v>0</v>
      </c>
    </row>
    <row s="13116" customFormat="1" customHeight="1" ht="6" hidden="1">
      <c r="A55" s="1012"/>
      <c r="B55" s="653"/>
      <c r="C55" s="654"/>
      <c r="D55" s="466"/>
      <c r="E55" s="464"/>
      <c r="F55" s="467"/>
      <c r="G55" s="304"/>
      <c r="H55" s="636"/>
      <c r="I55" s="638"/>
      <c r="J55" s="1101"/>
      <c r="Q55" s="657">
        <v>0</v>
      </c>
    </row>
    <row s="13141" customFormat="1" customHeight="1" ht="25.5" hidden="1">
      <c r="A56" s="1013"/>
      <c r="B56" s="640"/>
      <c r="C56" s="757"/>
      <c r="D56" s="758"/>
      <c r="E56" s="618" t="s">
        <v>64</v>
      </c>
      <c r="F56" s="1275" t="s">
        <v>19</v>
      </c>
      <c r="G56" s="759"/>
      <c r="I56" s="761"/>
      <c r="J56" s="1105"/>
      <c r="P56" s="762"/>
      <c r="Q56" s="760">
        <v>0</v>
      </c>
    </row>
    <row s="13116" customFormat="1" customHeight="1" ht="6" hidden="1">
      <c r="A57" s="1012"/>
      <c r="B57" s="653"/>
      <c r="C57" s="654"/>
      <c r="D57" s="466"/>
      <c r="E57" s="464"/>
      <c r="F57" s="467"/>
      <c r="G57" s="304"/>
      <c r="H57" s="636"/>
      <c r="I57" s="638"/>
      <c r="J57" s="1101"/>
      <c r="Q57" s="657">
        <v>0</v>
      </c>
    </row>
    <row s="13141" customFormat="1" customHeight="1" ht="15" hidden="1">
      <c r="A58" s="1013"/>
      <c r="B58" s="640"/>
      <c r="C58" s="757"/>
      <c r="D58" s="758"/>
      <c r="E58" s="618" t="s">
        <v>65</v>
      </c>
      <c r="F58" s="1275" t="s">
        <v>66</v>
      </c>
      <c r="G58" s="759"/>
      <c r="I58" s="761"/>
      <c r="J58" s="1105"/>
      <c r="P58" s="762"/>
      <c r="Q58" s="760">
        <v>0</v>
      </c>
    </row>
    <row s="13141"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6"/>
      <c r="G59" s="759"/>
      <c r="I59" s="761"/>
      <c r="J59" s="1105"/>
      <c r="P59" s="762"/>
      <c r="Q59" s="760">
        <v>0</v>
      </c>
    </row>
    <row s="13141" customFormat="1" customHeight="1" ht="15" hidden="1">
      <c r="A60" s="1013"/>
      <c r="B60" s="640"/>
      <c r="C60" s="757"/>
      <c r="D60" s="758"/>
      <c r="E60" s="1392" t="s">
        <v>67</v>
      </c>
      <c r="F60" s="1378"/>
      <c r="G60" s="759"/>
      <c r="I60" s="761"/>
      <c r="J60" s="1105"/>
      <c r="P60" s="762"/>
      <c r="Q60" s="760">
        <v>0</v>
      </c>
    </row>
    <row s="13116" customFormat="1" customHeight="1" ht="6" hidden="1">
      <c r="A61" s="1012"/>
      <c r="B61" s="653"/>
      <c r="C61" s="654"/>
      <c r="D61" s="655"/>
      <c r="E61" s="656"/>
      <c r="F61" s="1280"/>
      <c r="G61" s="300"/>
      <c r="H61" s="636"/>
      <c r="I61" s="638"/>
      <c r="J61" s="1103"/>
      <c r="Q61" s="657">
        <v>0</v>
      </c>
    </row>
    <row s="13141" customFormat="1" customHeight="1" ht="33.75" hidden="1">
      <c r="A62" s="1012"/>
      <c r="B62" s="325"/>
      <c r="C62" s="635"/>
      <c r="D62" s="637"/>
      <c r="E62" s="1392" t="s">
        <v>68</v>
      </c>
      <c r="F62" s="1898" t="s">
        <v>66</v>
      </c>
      <c r="G62" s="300"/>
      <c r="H62" s="1000" t="s">
        <v>22</v>
      </c>
      <c r="I62" s="638"/>
      <c r="J62" s="1103"/>
      <c r="Q62" s="636">
        <v>0</v>
      </c>
    </row>
    <row s="13116"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3012"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6678524-0A13-63F7-E4CA-BD4716E336B8}"/>
    <hyperlink ref="H17" location="Титульный!H9" display="Как заполнить?" tooltip="Помощь по работе с полями отчётной формы" xr:uid="{3E8D4403-0DE7-4DCB-F7DB-B2A665E41A05}"/>
    <hyperlink ref="H39" location="Титульный!H9" display="Как заполнить?" tooltip="Помощь по работе с полями отчётной формы" xr:uid="{9EAF38EF-23C9-E8C4-36E1-28EAA99825EC}"/>
    <hyperlink ref="H62" location="Титульный!H9" display="Как заполнить?" tooltip="Помощь по работе с полями отчётной формы" xr:uid="{1FA69FA4-0956-999B-D8FD-0422EFC7048B}"/>
    <hyperlink ref="F70" r:id="rId4" xr:uid="{D8D6CE7B-7A2A-5CAA-32B1-F837043931E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E0F2C-1FA5-C44B-DEFA-4AA7FB9FDC7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3141" width="8.00390625" hidden="1" customWidth="1"/>
    <col min="2" max="2" style="13221" width="6.00390625" hidden="1" customWidth="1"/>
    <col min="3" max="3" style="13141" width="3.00390625" customWidth="1"/>
    <col min="4" max="4" style="13310" width="3.00390625" customWidth="1"/>
    <col min="5" max="5" style="13141" width="6.00390625" customWidth="1"/>
    <col min="6" max="6" style="13141" width="2.7109375" hidden="1" customWidth="1"/>
    <col min="7" max="7" style="13141" width="46.7109375" customWidth="1"/>
    <col min="8" max="8" style="13141" width="42.00390625" customWidth="1"/>
    <col min="9" max="9" style="13141" width="14.00390625" customWidth="1"/>
    <col min="10" max="10" style="13311" width="3.00390625" customWidth="1"/>
    <col min="11" max="13" style="13311" width="9.140625" hidden="1"/>
    <col min="14" max="14" style="13311" width="25.7109375" hidden="1" customWidth="1"/>
    <col min="15" max="15" style="13311" width="14.421875" hidden="1" customWidth="1"/>
    <col min="16" max="19" style="13312" width="9.140625" hidden="1"/>
    <col min="20" max="27" style="13141" width="9.140625" hidden="1"/>
    <col min="28" max="28" style="13141" width="8.00390625" customWidth="1"/>
    <col min="29" max="29" style="13141" width="9.140625" hidden="1"/>
  </cols>
  <sheetData>
    <row s="13222"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3231"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3237" customFormat="1" customHeight="1" ht="3">
      <c r="A3" s="985"/>
      <c r="B3" s="644"/>
      <c r="C3" s="985"/>
      <c r="D3" s="391"/>
      <c r="E3" s="330"/>
      <c r="F3" s="736"/>
      <c r="G3" s="330"/>
      <c r="H3" s="330"/>
      <c r="I3" s="393"/>
      <c r="J3" s="474"/>
      <c r="K3" s="382"/>
      <c r="L3" s="382"/>
      <c r="M3" s="382"/>
      <c r="N3" s="453"/>
      <c r="O3" s="382"/>
      <c r="P3" s="452"/>
      <c r="Q3" s="452"/>
      <c r="R3" s="452"/>
      <c r="S3" s="452"/>
      <c r="AC3" s="343">
        <v>3</v>
      </c>
    </row>
    <row s="13237"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3237" customFormat="1" customHeight="1" ht="3">
      <c r="A5" s="985"/>
      <c r="B5" s="644"/>
      <c r="C5" s="985"/>
      <c r="D5" s="391"/>
      <c r="E5" s="330"/>
      <c r="F5" s="736"/>
      <c r="G5" s="394"/>
      <c r="H5" s="394"/>
      <c r="I5" s="395"/>
      <c r="J5" s="382"/>
      <c r="K5" s="382"/>
      <c r="L5" s="382"/>
      <c r="M5" s="382"/>
      <c r="N5" s="453"/>
      <c r="O5" s="382"/>
      <c r="P5" s="452"/>
      <c r="Q5" s="452"/>
      <c r="R5" s="452"/>
      <c r="S5" s="452"/>
      <c r="AC5" s="343">
        <v>3</v>
      </c>
    </row>
    <row s="13237"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3237"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3237"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3237"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3237"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3282"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Уссурийский городской округ(05723000)</v>
      </c>
      <c r="P13" s="644"/>
      <c r="Q13" s="644"/>
      <c r="R13" s="647"/>
      <c r="S13" s="644"/>
      <c r="T13" s="644"/>
      <c r="U13" s="644"/>
      <c r="V13" s="649"/>
      <c r="W13" s="649"/>
      <c r="X13" s="646"/>
      <c r="Y13" s="646"/>
      <c r="Z13" s="646"/>
      <c r="AA13" s="646"/>
      <c r="AB13" s="646"/>
      <c r="AC13" s="650">
        <v>15</v>
      </c>
    </row>
    <row s="13282"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3237"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3237"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3237"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3237"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3305" customFormat="1" customHeight="1" ht="10.5">
      <c r="B19" s="1061"/>
      <c r="D19" s="409"/>
      <c r="J19" s="382"/>
      <c r="K19" s="382"/>
      <c r="L19" s="382"/>
      <c r="M19" s="382"/>
      <c r="N19" s="453"/>
      <c r="O19" s="382"/>
      <c r="P19" s="452"/>
      <c r="Q19" s="452"/>
      <c r="R19" s="452"/>
      <c r="S19" s="452"/>
      <c r="AC19" s="408">
        <v>10</v>
      </c>
    </row>
    <row s="13305"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E476E-8E71-3FB3-E316-715042D1BBA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348" width="6.421875" hidden="1" customWidth="1"/>
    <col min="2" max="2" style="13348" width="2.00390625" hidden="1" customWidth="1"/>
    <col min="3" max="3" style="13348" width="3.00390625" customWidth="1"/>
    <col min="4" max="4" style="13348" width="4.00390625" customWidth="1"/>
    <col min="5" max="5" style="13348" width="44.00390625" customWidth="1"/>
    <col min="6" max="6" style="13348" width="6.421875" customWidth="1"/>
    <col min="7" max="7" style="13348" width="4.00390625" customWidth="1"/>
    <col min="8" max="8" style="13348" width="5.00390625" customWidth="1"/>
    <col min="9" max="9" style="13348" width="52.00390625" customWidth="1"/>
    <col min="10" max="10" style="13348" width="7.00390625" customWidth="1"/>
    <col min="11" max="11" style="13348" width="3.00390625" customWidth="1"/>
    <col min="12" max="12" style="13348" width="6.00390625" customWidth="1"/>
    <col min="13" max="13" style="13348" width="56.00390625" customWidth="1"/>
    <col min="14" max="14" style="13399" width="8.00390625" customWidth="1"/>
    <col min="15" max="20" style="13311" width="9.140625" hidden="1"/>
    <col min="21" max="24" style="13400" width="9.140625" hidden="1"/>
    <col min="25" max="37" style="13399" width="9.140625" hidden="1"/>
    <col min="38" max="38" style="13399" width="8.00390625" customWidth="1"/>
    <col min="39" max="39" style="13348"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3319" customFormat="1" customHeight="1" ht="14.699999999999998">
      <c r="A5" s="812"/>
      <c r="B5" s="812"/>
      <c r="C5" s="812"/>
      <c r="D5" s="2349" t="str">
        <f>IF(org=0,"Не определено",org)</f>
        <v>МУП "Уссурийск-Водоканал"</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3319"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3319"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88</v>
      </c>
      <c r="E10" s="750" t="s">
        <v>89</v>
      </c>
      <c r="F10" s="750" t="s">
        <v>108</v>
      </c>
      <c r="G10" s="2360" t="s">
        <v>88</v>
      </c>
      <c r="H10" s="2361"/>
      <c r="I10" s="750" t="s">
        <v>89</v>
      </c>
      <c r="J10" s="750" t="s">
        <v>108</v>
      </c>
      <c r="K10" s="2360" t="s">
        <v>88</v>
      </c>
      <c r="L10" s="2361"/>
      <c r="M10" s="750" t="s">
        <v>89</v>
      </c>
      <c r="N10" s="1854"/>
      <c r="AM10" s="810">
        <v>23</v>
      </c>
    </row>
    <row s="13348" customFormat="1" customHeight="1" ht="11.25" hidden="1">
      <c r="A11" s="820"/>
      <c r="B11" s="820"/>
      <c r="C11" s="820"/>
      <c r="D11" s="821" t="s">
        <v>109</v>
      </c>
      <c r="E11" s="821" t="s">
        <v>110</v>
      </c>
      <c r="F11" s="821" t="s">
        <v>90</v>
      </c>
      <c r="G11" s="2342" t="s">
        <v>91</v>
      </c>
      <c r="H11" s="2343"/>
      <c r="I11" s="821" t="s">
        <v>111</v>
      </c>
      <c r="J11" s="821" t="s">
        <v>92</v>
      </c>
      <c r="K11" s="2344" t="s">
        <v>93</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3348" customFormat="1" customHeight="1" ht="15.75">
      <c r="A13" s="520"/>
      <c r="B13" s="520"/>
      <c r="C13" s="753"/>
      <c r="D13" s="2335" t="s">
        <v>109</v>
      </c>
      <c r="E13" s="2336"/>
      <c r="F13" s="2339" t="s">
        <v>66</v>
      </c>
      <c r="G13" s="2340"/>
      <c r="H13" s="2341">
        <v>1</v>
      </c>
      <c r="I13" s="2332" t="str">
        <f>IF(U13="","",INDEX(TERRITORY_MR_LIST,MATCH(U13,TERRITORY_LIST_ID,0)))</f>
        <v/>
      </c>
      <c r="J13" s="2334" t="s">
        <v>19</v>
      </c>
      <c r="K13" s="829"/>
      <c r="L13" s="754" t="s">
        <v>109</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3348"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3348"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CB2F3-7C6E-4796-5361-8A2EB17D2698}" mc:Ignorable="x14ac xr xr2 xr3">
  <sheetPr>
    <tabColor rgb="FFCCCCFF"/>
  </sheetPr>
  <dimension ref="A1:AR146"/>
  <sheetViews>
    <sheetView topLeftCell="A1" showGridLines="0" zoomScale="90" workbookViewId="0">
      <selection activeCell="O84" sqref="O84:O86"/>
    </sheetView>
  </sheetViews>
  <sheetFormatPr defaultColWidth="9.140625" customHeight="1" defaultRowHeight="11.25"/>
  <cols>
    <col min="1" max="2" style="13311" width="3.7109375" hidden="1" customWidth="1"/>
    <col min="3" max="3" style="13348" width="3.00390625" customWidth="1"/>
    <col min="4" max="4" style="13348" width="6.00390625" customWidth="1"/>
    <col min="5" max="5" style="13348" width="42.00390625" customWidth="1"/>
    <col min="6" max="6" style="13348" width="15.00390625" customWidth="1"/>
    <col min="7" max="7" style="13348" width="42.00390625" customWidth="1"/>
    <col min="8" max="8" style="13348" width="3.00390625" customWidth="1"/>
    <col min="9" max="9" style="13348" width="5.00390625" customWidth="1"/>
    <col min="10" max="10" style="13348" width="47.00390625" customWidth="1"/>
    <col min="11" max="12" style="13348" width="3.00390625" customWidth="1"/>
    <col min="13" max="13" style="13348" width="5.00390625" customWidth="1"/>
    <col min="14" max="14" style="13348" width="28.00390625" customWidth="1"/>
    <col min="15" max="16" style="13348" width="3.00390625" customWidth="1"/>
    <col min="17" max="17" style="13348" width="5.00390625" customWidth="1"/>
    <col min="18" max="18" style="13348" width="34.00390625" customWidth="1"/>
    <col min="19" max="20" style="13348" width="3.7109375" hidden="1" customWidth="1"/>
    <col min="21" max="21" style="13348" width="5.7109375" hidden="1" customWidth="1"/>
    <col min="22" max="22" style="13348" width="34.421875" hidden="1" customWidth="1"/>
    <col min="23" max="23" style="13348" width="30.00390625" customWidth="1"/>
    <col min="24" max="24" style="13348" width="3.00390625" customWidth="1"/>
    <col min="25" max="28" style="13400" width="9.8515625" hidden="1" customWidth="1"/>
    <col min="29" max="29" style="13400" width="27.00390625" hidden="1" customWidth="1"/>
    <col min="30" max="30" style="13400" width="10.57421875" hidden="1" customWidth="1"/>
    <col min="31" max="31" style="13400" width="10.7109375" hidden="1" customWidth="1"/>
    <col min="32" max="32" style="13400" width="10.00390625" hidden="1" customWidth="1"/>
    <col min="33" max="33" style="13400" width="12.8515625" hidden="1" customWidth="1"/>
    <col min="34" max="34" style="13400" width="24.421875" hidden="1" customWidth="1"/>
    <col min="35" max="35" style="13400" width="15.8515625" hidden="1" customWidth="1"/>
    <col min="36" max="36" style="13400" width="19.421875" hidden="1" customWidth="1"/>
    <col min="37" max="37" style="13400" width="11.00390625" hidden="1" customWidth="1"/>
    <col min="38" max="38" style="13400" width="23.57421875" hidden="1" customWidth="1"/>
    <col min="39" max="39" style="13400" width="23.8515625" hidden="1" customWidth="1"/>
    <col min="40" max="40" style="13400" width="25.28125" hidden="1" customWidth="1"/>
    <col min="41" max="41" style="13400" width="16.8515625" hidden="1" customWidth="1"/>
    <col min="42" max="42" style="13400" width="29.57421875" hidden="1" customWidth="1"/>
    <col min="43" max="43" style="13400" width="29.8515625" hidden="1" customWidth="1"/>
    <col min="44" max="44" style="13348" width="9.140625" hidden="1"/>
  </cols>
  <sheetData>
    <row customHeight="1" ht="11.25" hidden="1">
      <c r="A1" s="383"/>
      <c r="AR1" s="331" t="s">
        <v>14</v>
      </c>
    </row>
    <row customHeight="1" ht="11.25" hidden="1">
      <c r="AR2" s="331">
        <v>0</v>
      </c>
    </row>
    <row customHeight="1" ht="11.25" hidden="1">
      <c r="AR3" s="331">
        <v>0</v>
      </c>
    </row>
    <row customHeight="1" ht="3">
      <c r="AR4" s="331">
        <v>3</v>
      </c>
    </row>
    <row s="13319"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3319" customFormat="1" customHeight="1" ht="14.699999999999998">
      <c r="A6" s="812"/>
      <c r="B6" s="812"/>
      <c r="C6" s="812"/>
      <c r="D6" s="2390" t="str">
        <f>IF(org=0,"Не определено",org)</f>
        <v>МУП "Уссурийск-Водоканал"</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3413"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3319"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122</v>
      </c>
      <c r="F9" s="2330"/>
      <c r="G9" s="2354" t="s">
        <v>105</v>
      </c>
      <c r="H9" s="2354" t="s">
        <v>88</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89</v>
      </c>
      <c r="F10" s="1511" t="s">
        <v>128</v>
      </c>
      <c r="G10" s="2354"/>
      <c r="H10" s="2354"/>
      <c r="I10" s="2354"/>
      <c r="J10" s="2354"/>
      <c r="K10" s="337" t="s">
        <v>108</v>
      </c>
      <c r="L10" s="2354" t="s">
        <v>88</v>
      </c>
      <c r="M10" s="2354"/>
      <c r="N10" s="337" t="s">
        <v>129</v>
      </c>
      <c r="O10" s="337" t="s">
        <v>108</v>
      </c>
      <c r="P10" s="2354" t="s">
        <v>88</v>
      </c>
      <c r="Q10" s="2354"/>
      <c r="R10" s="337" t="s">
        <v>129</v>
      </c>
      <c r="S10" s="510" t="s">
        <v>108</v>
      </c>
      <c r="T10" s="2354" t="s">
        <v>88</v>
      </c>
      <c r="U10" s="2354"/>
      <c r="V10" s="510" t="s">
        <v>89</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3311" customFormat="1" customHeight="1" ht="12" hidden="1">
      <c r="D11" s="1476" t="s">
        <v>109</v>
      </c>
      <c r="E11" s="1476" t="s">
        <v>110</v>
      </c>
      <c r="F11" s="1476"/>
      <c r="G11" s="1476" t="s">
        <v>90</v>
      </c>
      <c r="H11" s="2383" t="s">
        <v>111</v>
      </c>
      <c r="I11" s="2383"/>
      <c r="J11" s="1476" t="s">
        <v>92</v>
      </c>
      <c r="K11" s="1476" t="s">
        <v>93</v>
      </c>
      <c r="L11" s="2383" t="s">
        <v>112</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3348" customFormat="1" customHeight="1" ht="17.25" hidden="1">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3348"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3348"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3348"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3348"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3348"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3348"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3348"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3348"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3348"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3348" customFormat="1" customHeight="1" ht="17.25" hidden="1">
      <c r="A23" s="548"/>
      <c r="C23" s="436"/>
      <c r="D23" s="2362">
        <v>2</v>
      </c>
      <c r="E23" s="2370" t="s">
        <v>165</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160</v>
      </c>
      <c r="AD23" s="1494" t="s">
        <v>161</v>
      </c>
      <c r="AE23" s="1494" t="s">
        <v>162</v>
      </c>
      <c r="AF23" s="1494" t="s">
        <v>163</v>
      </c>
      <c r="AG23" s="1494" t="s">
        <v>164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3348"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3348"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3348"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3348"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3348" customFormat="1" customHeight="1" ht="17.25" hidden="1">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3348"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3348"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3348"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3348"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3348" customFormat="1" customHeight="1" ht="17.25" hidden="1">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3348"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3348"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3348"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3348"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3348" customFormat="1" customHeight="1" ht="17.25" hidden="1">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3348"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3348"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3348"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3348"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3348" customFormat="1" customHeight="1" ht="17.25" hidden="1">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3348"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3348"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3348"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3348"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3348" customFormat="1" customHeight="1" ht="17.25" hidden="1">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3348"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3348"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3348"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3348"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3348" customFormat="1" customHeight="1" ht="17.25" hidden="1">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3348"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3348"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3348"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3348"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3348" customFormat="1" customHeight="1" ht="17.25" hidden="1">
      <c r="A58" s="548"/>
      <c r="C58" s="436"/>
      <c r="D58" s="2362">
        <v>9</v>
      </c>
      <c r="E58" s="2370" t="s">
        <v>202</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203</v>
      </c>
      <c r="AD58" s="1494" t="s">
        <v>204</v>
      </c>
      <c r="AE58" s="1494" t="s">
        <v>205</v>
      </c>
      <c r="AF58" s="1494" t="s">
        <v>206</v>
      </c>
      <c r="AG58" s="1494" t="s">
        <v>207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3348"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3348"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3348"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3348"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3348" customFormat="1" customHeight="1" ht="17.25" hidden="1">
      <c r="A63" s="548"/>
      <c r="C63" s="436"/>
      <c r="D63" s="2362">
        <v>10</v>
      </c>
      <c r="E63" s="2370" t="s">
        <v>208</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209</v>
      </c>
      <c r="AD63" s="1494" t="s">
        <v>210</v>
      </c>
      <c r="AE63" s="1494" t="s">
        <v>211</v>
      </c>
      <c r="AF63" s="1494" t="s">
        <v>212</v>
      </c>
      <c r="AG63" s="1494" t="s">
        <v>213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3348"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3348"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3348"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3348"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214</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215</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216</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217</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218</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219</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220</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221</v>
      </c>
      <c r="F77" s="2399"/>
      <c r="G77" s="2400"/>
      <c r="H77" s="2400"/>
      <c r="I77" s="2400"/>
      <c r="J77" s="2400"/>
      <c r="K77" s="2400"/>
      <c r="L77" s="2400"/>
      <c r="M77" s="2400"/>
      <c r="N77" s="2400"/>
      <c r="O77" s="2400"/>
      <c r="P77" s="2400"/>
      <c r="Q77" s="2400"/>
      <c r="R77" s="2400"/>
      <c r="S77" s="2400"/>
      <c r="T77" s="2400"/>
      <c r="U77" s="2400"/>
      <c r="V77" s="2400"/>
      <c r="W77" s="2400"/>
      <c r="AR77" s="331">
        <v>0</v>
      </c>
    </row>
    <row s="13348"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3348" customFormat="1" customHeight="1" ht="17.25">
      <c r="A79" s="548"/>
      <c r="C79" s="436"/>
      <c r="D79" s="2362">
        <v>1</v>
      </c>
      <c r="E79" s="2370" t="s">
        <v>222</v>
      </c>
      <c r="F79" s="2372" t="s">
        <v>66</v>
      </c>
      <c r="G79" s="3312" t="str">
        <f>INDEX(VD_NAME_LIST,MATCH("4189671",VD_ID_LIST,0))</f>
        <v>Холодное водоснабжение. Питьевая вода</v>
      </c>
      <c r="H79" s="3313"/>
      <c r="I79" s="3313">
        <v>1</v>
      </c>
      <c r="J79" s="3314" t="s">
        <v>223</v>
      </c>
      <c r="K79" s="3315" t="s">
        <v>19</v>
      </c>
      <c r="L79" s="3316"/>
      <c r="M79" s="3316" t="s">
        <v>109</v>
      </c>
      <c r="N79" s="3317" t="s">
        <v>28</v>
      </c>
      <c r="O79" s="3315" t="s">
        <v>19</v>
      </c>
      <c r="P79" s="3316"/>
      <c r="Q79" s="3316" t="s">
        <v>109</v>
      </c>
      <c r="R79" s="3318" t="s">
        <v>28</v>
      </c>
      <c r="S79" s="3319" t="s">
        <v>19</v>
      </c>
      <c r="T79" s="3319"/>
      <c r="U79" s="3319" t="s">
        <v>109</v>
      </c>
      <c r="V79" s="3320"/>
      <c r="W79" s="3314"/>
      <c r="Y79" s="1494"/>
      <c r="Z79" s="1494"/>
      <c r="AA79" s="1494"/>
      <c r="AB79" s="1494" t="s">
        <v>224</v>
      </c>
      <c r="AC79" s="1494" t="s">
        <v>225</v>
      </c>
      <c r="AD79" s="1494" t="s">
        <v>226</v>
      </c>
      <c r="AE79" s="1494" t="s">
        <v>227</v>
      </c>
      <c r="AF79" s="1494" t="s">
        <v>228</v>
      </c>
      <c r="AG79" s="1494"/>
      <c r="AH79" s="1494" t="str">
        <f>IF($E$79=0,"",$E$79)</f>
        <v>Тариф на питьевую воду (питьевое водоснабжение)</v>
      </c>
      <c r="AI79" s="1494" t="str">
        <f>IF($G$79=0,"",$G$79)</f>
        <v>Холодное водоснабжение. Питьевая вода</v>
      </c>
      <c r="AJ79" s="1494" t="str">
        <f>IF($J$79=0,"",$J$79)</f>
        <v>Тариф  на  холодную  воду  питьевую</v>
      </c>
      <c r="AK79" s="1494" t="str">
        <f>IF($K$79="нет","без дифференциации",IF($N$79=0,"",$N$79))</f>
        <v>без дифференциации</v>
      </c>
      <c r="AL79" s="1494" t="str">
        <f>IF($O$79="нет","без дифференциации",IF($R$79=0,"",$R$79))</f>
        <v>без дифференциации</v>
      </c>
      <c r="AM79" s="1494" t="str">
        <f>IF($S$79="нет","без дифференциации",IF($V$79=0,"",$V$79))</f>
        <v>без дифференциации</v>
      </c>
      <c r="AN79" s="1494">
        <f>$I$79</f>
        <v>1</v>
      </c>
      <c r="AO79" s="1494" t="str">
        <f>$I$79&amp;"."&amp;$M$79</f>
        <v>1.1</v>
      </c>
      <c r="AP79" s="1494" t="str">
        <f>$I$79&amp;"."&amp;$M$79&amp;"."&amp;$Q$79</f>
        <v>1.1.1</v>
      </c>
      <c r="AQ79" s="1494" t="str">
        <f>$I$79&amp;"."&amp;$M$79&amp;"."&amp;$Q$79&amp;"."&amp;$U$79</f>
        <v>1.1.1.1</v>
      </c>
      <c r="AR79" s="1577">
        <v>0</v>
      </c>
    </row>
    <row s="13348" customFormat="1" customHeight="1" ht="17.25">
      <c r="A80" s="548"/>
      <c r="C80" s="547"/>
      <c r="D80" s="2362"/>
      <c r="E80" s="2370"/>
      <c r="F80" s="2373"/>
      <c r="G80" s="3312"/>
      <c r="H80" s="3313"/>
      <c r="I80" s="3313"/>
      <c r="J80" s="3314"/>
      <c r="K80" s="3321"/>
      <c r="L80" s="3316"/>
      <c r="M80" s="3316"/>
      <c r="N80" s="3317" t="s">
        <v>28</v>
      </c>
      <c r="O80" s="3321"/>
      <c r="P80" s="3316"/>
      <c r="Q80" s="3316"/>
      <c r="R80" s="3318" t="s">
        <v>28</v>
      </c>
      <c r="S80" s="3319"/>
      <c r="T80" s="3322"/>
      <c r="U80" s="3323"/>
      <c r="V80" s="3323"/>
      <c r="W80" s="3314"/>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3348" customFormat="1" customHeight="1" ht="17.25">
      <c r="A81" s="548"/>
      <c r="C81" s="436"/>
      <c r="D81" s="2362"/>
      <c r="E81" s="2370"/>
      <c r="F81" s="2373"/>
      <c r="G81" s="3312"/>
      <c r="H81" s="3324"/>
      <c r="I81" s="3324"/>
      <c r="J81" s="3325"/>
      <c r="K81" s="3321"/>
      <c r="L81" s="3324"/>
      <c r="M81" s="3324"/>
      <c r="N81" s="3318" t="s">
        <v>28</v>
      </c>
      <c r="O81" s="3326"/>
      <c r="P81" s="3327"/>
      <c r="Q81" s="3328"/>
      <c r="R81" s="3329" t="s">
        <v>229</v>
      </c>
      <c r="S81" s="3330"/>
      <c r="T81" s="3331"/>
      <c r="U81" s="3332"/>
      <c r="V81" s="3333"/>
      <c r="W81" s="3334"/>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3348" customFormat="1" customHeight="1" ht="17.25">
      <c r="A82" s="548"/>
      <c r="C82" s="547"/>
      <c r="D82" s="2362"/>
      <c r="E82" s="2370"/>
      <c r="F82" s="2373"/>
      <c r="G82" s="3312"/>
      <c r="H82" s="3324"/>
      <c r="I82" s="3324"/>
      <c r="J82" s="3325"/>
      <c r="K82" s="3326"/>
      <c r="L82" s="3336"/>
      <c r="M82" s="3337"/>
      <c r="N82" s="3338" t="s">
        <v>230</v>
      </c>
      <c r="O82" s="3339"/>
      <c r="P82" s="3340"/>
      <c r="Q82" s="3341"/>
      <c r="R82" s="3342"/>
      <c r="S82" s="3343"/>
      <c r="T82" s="3344"/>
      <c r="U82" s="3345"/>
      <c r="V82" s="3346"/>
      <c r="W82" s="3347"/>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3348" customFormat="1" customHeight="1" ht="17.25">
      <c r="A83" s="548"/>
      <c r="C83" s="547"/>
      <c r="D83" s="2363"/>
      <c r="E83" s="2371"/>
      <c r="F83" s="2374"/>
      <c r="G83" s="3348"/>
      <c r="H83" s="3349"/>
      <c r="I83" s="3350"/>
      <c r="J83" s="3351" t="s">
        <v>231</v>
      </c>
      <c r="K83" s="3352"/>
      <c r="L83" s="3353"/>
      <c r="M83" s="3354"/>
      <c r="N83" s="3355"/>
      <c r="O83" s="3356"/>
      <c r="P83" s="3357"/>
      <c r="Q83" s="3358"/>
      <c r="R83" s="3359"/>
      <c r="S83" s="3360"/>
      <c r="T83" s="3361"/>
      <c r="U83" s="3362"/>
      <c r="V83" s="3363"/>
      <c r="W83" s="3364"/>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3348" customFormat="1" customHeight="1" ht="17.25">
      <c r="A84" s="548"/>
      <c r="C84" s="436"/>
      <c r="D84" s="2362">
        <v>2</v>
      </c>
      <c r="E84" s="2370" t="s">
        <v>232</v>
      </c>
      <c r="F84" s="2372" t="s">
        <v>66</v>
      </c>
      <c r="G84" s="3312" t="str">
        <f>INDEX(VD_NAME_LIST,MATCH("4189672",VD_ID_LIST,0))</f>
        <v>Холодное водоснабжение. Техническая вода</v>
      </c>
      <c r="H84" s="3313"/>
      <c r="I84" s="3313">
        <v>1</v>
      </c>
      <c r="J84" s="3314" t="s">
        <v>233</v>
      </c>
      <c r="K84" s="3315" t="s">
        <v>19</v>
      </c>
      <c r="L84" s="3316"/>
      <c r="M84" s="3316" t="s">
        <v>109</v>
      </c>
      <c r="N84" s="3317" t="s">
        <v>28</v>
      </c>
      <c r="O84" s="3315" t="s">
        <v>19</v>
      </c>
      <c r="P84" s="3316"/>
      <c r="Q84" s="3316" t="s">
        <v>109</v>
      </c>
      <c r="R84" s="3318" t="s">
        <v>28</v>
      </c>
      <c r="S84" s="3319" t="s">
        <v>19</v>
      </c>
      <c r="T84" s="3319"/>
      <c r="U84" s="3319" t="s">
        <v>109</v>
      </c>
      <c r="V84" s="3320"/>
      <c r="W84" s="3314"/>
      <c r="X84" s="1494"/>
      <c r="Y84" s="1494"/>
      <c r="Z84" s="1494"/>
      <c r="AA84" s="1494"/>
      <c r="AB84" s="1494" t="s">
        <v>234</v>
      </c>
      <c r="AC84" s="1494" t="s">
        <v>235</v>
      </c>
      <c r="AD84" s="1494" t="s">
        <v>236</v>
      </c>
      <c r="AE84" s="1494" t="s">
        <v>237</v>
      </c>
      <c r="AF84" s="1494" t="s">
        <v>238</v>
      </c>
      <c r="AG84" s="1494"/>
      <c r="AH84" s="1494" t="str">
        <f>IF($E$84=0,"",$E$84)</f>
        <v>Тариф на техническую воду</v>
      </c>
      <c r="AI84" s="1494" t="str">
        <f>IF($G$84=0,"",$G$84)</f>
        <v>Холодное водоснабжение. Техническая вода</v>
      </c>
      <c r="AJ84" s="1494" t="str">
        <f>IF($J$84=0,"",$J$84)</f>
        <v>Тариф  на  техническую  воду</v>
      </c>
      <c r="AK84" s="1494" t="str">
        <f>IF($K$84="нет","без дифференциации",IF($N$84=0,"",$N$84))</f>
        <v>без дифференциации</v>
      </c>
      <c r="AL84" s="1494" t="str">
        <f>IF($O$84="нет","без дифференциации",IF($R$84=0,"",$R$84))</f>
        <v>без дифференциации</v>
      </c>
      <c r="AM84" s="1494" t="str">
        <f>IF($S$84="нет","без дифференциации",IF($V$84=0,"",$V$84))</f>
        <v>без дифференциации</v>
      </c>
      <c r="AN84" s="1999">
        <f>$I$84</f>
        <v>1</v>
      </c>
      <c r="AO84" s="1494" t="str">
        <f>$I$84&amp;"."&amp;$M$84</f>
        <v>1.1</v>
      </c>
      <c r="AP84" s="1486" t="str">
        <f>$I$84&amp;"."&amp;$M$84&amp;"."&amp;$Q$84</f>
        <v>1.1.1</v>
      </c>
      <c r="AQ84" s="1486" t="str">
        <f>$I$84&amp;"."&amp;$M$84&amp;"."&amp;$Q$84&amp;"."&amp;$U$84</f>
        <v>1.1.1.1</v>
      </c>
      <c r="AR84" s="1577">
        <v>0</v>
      </c>
    </row>
    <row s="13348" customFormat="1" customHeight="1" ht="17.25">
      <c r="A85" s="548"/>
      <c r="C85" s="547"/>
      <c r="D85" s="2362"/>
      <c r="E85" s="2370"/>
      <c r="F85" s="2373"/>
      <c r="G85" s="3312"/>
      <c r="H85" s="3313"/>
      <c r="I85" s="3313"/>
      <c r="J85" s="3314"/>
      <c r="K85" s="3321"/>
      <c r="L85" s="3316"/>
      <c r="M85" s="3316"/>
      <c r="N85" s="3317" t="s">
        <v>28</v>
      </c>
      <c r="O85" s="3321"/>
      <c r="P85" s="3316"/>
      <c r="Q85" s="3316"/>
      <c r="R85" s="3318" t="s">
        <v>28</v>
      </c>
      <c r="S85" s="3319"/>
      <c r="T85" s="3322"/>
      <c r="U85" s="3323"/>
      <c r="V85" s="3323"/>
      <c r="W85" s="3314"/>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3348" customFormat="1" customHeight="1" ht="17.25">
      <c r="A86" s="548"/>
      <c r="C86" s="547"/>
      <c r="D86" s="2363"/>
      <c r="E86" s="2371"/>
      <c r="F86" s="2373"/>
      <c r="G86" s="3348"/>
      <c r="H86" s="3324"/>
      <c r="I86" s="3324"/>
      <c r="J86" s="3325"/>
      <c r="K86" s="3321"/>
      <c r="L86" s="3324"/>
      <c r="M86" s="3324"/>
      <c r="N86" s="3318" t="s">
        <v>28</v>
      </c>
      <c r="O86" s="3326"/>
      <c r="P86" s="3365"/>
      <c r="Q86" s="3366"/>
      <c r="R86" s="3367" t="s">
        <v>229</v>
      </c>
      <c r="S86" s="3368"/>
      <c r="T86" s="3369"/>
      <c r="U86" s="3370"/>
      <c r="V86" s="3371"/>
      <c r="W86" s="3372"/>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3348" customFormat="1" customHeight="1" ht="17.25">
      <c r="A87" s="548"/>
      <c r="C87" s="547"/>
      <c r="D87" s="2363"/>
      <c r="E87" s="2371"/>
      <c r="F87" s="2373"/>
      <c r="G87" s="3348"/>
      <c r="H87" s="3324"/>
      <c r="I87" s="3324"/>
      <c r="J87" s="3325"/>
      <c r="K87" s="3326"/>
      <c r="L87" s="3373"/>
      <c r="M87" s="3374"/>
      <c r="N87" s="3375" t="s">
        <v>230</v>
      </c>
      <c r="O87" s="3376"/>
      <c r="P87" s="3377"/>
      <c r="Q87" s="3378"/>
      <c r="R87" s="3379"/>
      <c r="S87" s="3380"/>
      <c r="T87" s="3381"/>
      <c r="U87" s="3382"/>
      <c r="V87" s="3383"/>
      <c r="W87" s="3384"/>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3348" customFormat="1" customHeight="1" ht="17.25">
      <c r="A88" s="548"/>
      <c r="C88" s="547"/>
      <c r="D88" s="2363"/>
      <c r="E88" s="2371"/>
      <c r="F88" s="2374"/>
      <c r="G88" s="3348"/>
      <c r="H88" s="3385"/>
      <c r="I88" s="3386"/>
      <c r="J88" s="3387" t="s">
        <v>231</v>
      </c>
      <c r="K88" s="3388"/>
      <c r="L88" s="3389"/>
      <c r="M88" s="3390"/>
      <c r="N88" s="3391"/>
      <c r="O88" s="3392"/>
      <c r="P88" s="3393"/>
      <c r="Q88" s="3394"/>
      <c r="R88" s="3395"/>
      <c r="S88" s="3396"/>
      <c r="T88" s="3397"/>
      <c r="U88" s="3398"/>
      <c r="V88" s="3399"/>
      <c r="W88" s="3400"/>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3348" customFormat="1" customHeight="1" ht="17.25">
      <c r="A89" s="548"/>
      <c r="C89" s="436"/>
      <c r="D89" s="2362">
        <v>3</v>
      </c>
      <c r="E89" s="2370" t="s">
        <v>239</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240</v>
      </c>
      <c r="AD89" s="1494" t="s">
        <v>241</v>
      </c>
      <c r="AE89" s="1494" t="s">
        <v>242</v>
      </c>
      <c r="AF89" s="1494" t="s">
        <v>243</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3348" customFormat="1" customHeight="1" ht="17.25">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3348" customFormat="1" customHeight="1" ht="17.25">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3348" customFormat="1" customHeight="1" ht="17.25">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3348" customFormat="1" customHeight="1" ht="17.25">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3348" customFormat="1" customHeight="1" ht="17.25">
      <c r="A94" s="548"/>
      <c r="C94" s="436"/>
      <c r="D94" s="2362">
        <v>4</v>
      </c>
      <c r="E94" s="2370" t="s">
        <v>244</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245</v>
      </c>
      <c r="AD94" s="1494" t="s">
        <v>246</v>
      </c>
      <c r="AE94" s="1494" t="s">
        <v>247</v>
      </c>
      <c r="AF94" s="1494" t="s">
        <v>248</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3348" customFormat="1" customHeight="1" ht="17.25">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3348" customFormat="1" customHeight="1" ht="17.25">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3348" customFormat="1" customHeight="1" ht="17.25">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3348" customFormat="1" customHeight="1" ht="17.25">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3348" customFormat="1" customHeight="1" ht="17.25">
      <c r="A99" s="548"/>
      <c r="C99" s="436"/>
      <c r="D99" s="2362">
        <v>5</v>
      </c>
      <c r="E99" s="2370" t="s">
        <v>249</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250</v>
      </c>
      <c r="AD99" s="1494" t="s">
        <v>251</v>
      </c>
      <c r="AE99" s="1494" t="s">
        <v>252</v>
      </c>
      <c r="AF99" s="1494" t="s">
        <v>253</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3348" customFormat="1" customHeight="1" ht="17.25">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3348" customFormat="1" customHeight="1" ht="17.25">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3348" customFormat="1" customHeight="1" ht="17.25">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3348" customFormat="1" customHeight="1" ht="17.25">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3348"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3348" customFormat="1" customHeight="1" ht="17.25" hidden="1">
      <c r="A105" s="548"/>
      <c r="C105" s="436"/>
      <c r="D105" s="2362">
        <v>1</v>
      </c>
      <c r="E105" s="2370" t="s">
        <v>254</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255</v>
      </c>
      <c r="AD105" s="1494" t="s">
        <v>256</v>
      </c>
      <c r="AE105" s="1494" t="s">
        <v>257</v>
      </c>
      <c r="AF105" s="1494" t="s">
        <v>258</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3348"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3348"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3348"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3348"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3348" customFormat="1" customHeight="1" ht="17.25" hidden="1">
      <c r="A110" s="548"/>
      <c r="C110" s="436"/>
      <c r="D110" s="2362">
        <v>2</v>
      </c>
      <c r="E110" s="2370" t="s">
        <v>259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260</v>
      </c>
      <c r="AD110" s="1494" t="s">
        <v>261</v>
      </c>
      <c r="AE110" s="1494" t="s">
        <v>262</v>
      </c>
      <c r="AF110" s="1494" t="s">
        <v>263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3348"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3348"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3348"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3348"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3348" customFormat="1" customHeight="1" ht="17.25" hidden="1">
      <c r="A115" s="548"/>
      <c r="C115" s="436"/>
      <c r="D115" s="2362">
        <v>3</v>
      </c>
      <c r="E115" s="2370" t="s">
        <v>264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265</v>
      </c>
      <c r="AD115" s="1494" t="s">
        <v>266</v>
      </c>
      <c r="AE115" s="1494" t="s">
        <v>267</v>
      </c>
      <c r="AF115" s="1494" t="s">
        <v>268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3348"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3348"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3348"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3348"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3348"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3348" customFormat="1" customHeight="1" ht="17.25" hidden="1">
      <c r="A121" s="548"/>
      <c r="C121" s="436"/>
      <c r="D121" s="2362">
        <v>1</v>
      </c>
      <c r="E121" s="2370" t="s">
        <v>269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270</v>
      </c>
      <c r="AD121" s="1494" t="s">
        <v>271</v>
      </c>
      <c r="AE121" s="1494" t="s">
        <v>272</v>
      </c>
      <c r="AF121" s="1494" t="s">
        <v>273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3348"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3348"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3348"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3348"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3348" customFormat="1" customHeight="1" ht="17.25" hidden="1">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3348"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3348"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3348"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3348"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3348" customFormat="1" customHeight="1" ht="17.25" hidden="1">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3348"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3348"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3348"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3348"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FDAB2-92B8-3F68-C8CC-455A5055D60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282" width="9.140625" hidden="1"/>
    <col min="3" max="4" style="13282" width="3.00390625" customWidth="1"/>
    <col min="5" max="6" style="13282" width="15.00390625" customWidth="1"/>
    <col min="7" max="7" style="13282" width="11.57421875" customWidth="1"/>
    <col min="8" max="9" style="13282" width="3.00390625" customWidth="1"/>
    <col min="10" max="10" style="13282" width="12.00390625" customWidth="1"/>
    <col min="11" max="11" style="13282" width="0.28125" customWidth="1"/>
    <col min="12" max="13" style="13282" width="10.00390625" customWidth="1"/>
    <col min="14" max="15" style="13282" width="3.00390625" customWidth="1"/>
    <col min="16" max="16" style="13282" width="19.00390625" customWidth="1"/>
    <col min="17" max="17" style="13282" width="0.28125" customWidth="1"/>
    <col min="18" max="19" style="13282" width="10.00390625" customWidth="1"/>
    <col min="20" max="21" style="13282" width="3.00390625" customWidth="1"/>
    <col min="22" max="22" style="13282" width="25.00390625" customWidth="1"/>
    <col min="23" max="23" style="13282" width="0.28125" customWidth="1"/>
    <col min="24" max="25" style="13282" width="10.00390625" customWidth="1"/>
    <col min="26" max="27" style="13282" width="3.00390625" customWidth="1"/>
    <col min="28" max="28" style="13282" width="16.00390625" customWidth="1"/>
    <col min="29" max="29" style="13282" width="0.28125" customWidth="1"/>
    <col min="30" max="31" style="13282" width="10.00390625" customWidth="1"/>
    <col min="32" max="33" style="13282" width="3.00390625" customWidth="1"/>
    <col min="34" max="34" style="13282" width="8.00390625" customWidth="1"/>
    <col min="35" max="35" style="13282" width="21.00390625" customWidth="1"/>
    <col min="36" max="36" style="13282" width="8.00390625" customWidth="1"/>
    <col min="37" max="37" style="13693" width="8.00390625" customWidth="1"/>
    <col min="38" max="64" style="13282" width="8.00390625" customWidth="1"/>
    <col min="65" max="65" style="13282" width="9.140625" hidden="1"/>
  </cols>
  <sheetData>
    <row s="13617"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3618"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3621"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3237"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3237" customFormat="1" customHeight="1" ht="14.699999999999998">
      <c r="A5" s="1859"/>
      <c r="B5" s="1858"/>
      <c r="C5" s="1742"/>
      <c r="D5" s="2403" t="str">
        <f>IF(org=0,"Не определено",org)</f>
        <v>МУП "Уссурийск-Водоканал"</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3237"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3617"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105</v>
      </c>
      <c r="F8" s="2419" t="s">
        <v>122</v>
      </c>
      <c r="G8" s="2420"/>
      <c r="H8" s="2419" t="s">
        <v>88</v>
      </c>
      <c r="I8" s="2420"/>
      <c r="J8" s="2354" t="s">
        <v>123</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89</v>
      </c>
      <c r="G9" s="2402" t="s">
        <v>128</v>
      </c>
      <c r="H9" s="2421"/>
      <c r="I9" s="2422"/>
      <c r="J9" s="2328"/>
      <c r="K9" s="1786"/>
      <c r="L9" s="2354" t="s">
        <v>293</v>
      </c>
      <c r="M9" s="2328"/>
      <c r="N9" s="2419" t="s">
        <v>88</v>
      </c>
      <c r="O9" s="2420"/>
      <c r="P9" s="2354" t="s">
        <v>129</v>
      </c>
      <c r="Q9" s="1783"/>
      <c r="R9" s="2354" t="s">
        <v>293</v>
      </c>
      <c r="S9" s="2328"/>
      <c r="T9" s="2419" t="s">
        <v>88</v>
      </c>
      <c r="U9" s="2420"/>
      <c r="V9" s="2354" t="s">
        <v>129</v>
      </c>
      <c r="W9" s="1783"/>
      <c r="X9" s="2354" t="s">
        <v>293</v>
      </c>
      <c r="Y9" s="2328"/>
      <c r="Z9" s="2419" t="s">
        <v>88</v>
      </c>
      <c r="AA9" s="2420"/>
      <c r="AB9" s="2354" t="s">
        <v>294</v>
      </c>
      <c r="AC9" s="1783"/>
      <c r="AD9" s="2354" t="s">
        <v>293</v>
      </c>
      <c r="AE9" s="2328"/>
      <c r="AF9" s="2419" t="s">
        <v>88</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130</v>
      </c>
      <c r="BM10" s="520">
        <v>23</v>
      </c>
    </row>
    <row customHeight="1" ht="15">
      <c r="D11" s="2410" t="s">
        <v>109</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3621"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3621"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3621"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3621"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3621"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3A534-6488-A3B4-3F0D-341545F4BB4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3781" width="15.00390625" hidden="1" customWidth="1"/>
    <col min="2" max="2" style="13738" width="15.00390625" hidden="1" customWidth="1"/>
    <col min="3" max="3" style="13782" width="3.00390625" customWidth="1"/>
    <col min="4" max="4" style="13783" width="6.00390625" customWidth="1"/>
    <col min="5" max="5" style="13782" width="52.00390625" customWidth="1"/>
    <col min="6" max="6" style="13782" width="48.00390625" customWidth="1"/>
    <col min="7" max="7" style="13782" width="121.00390625" customWidth="1"/>
    <col min="8" max="8" style="13782" width="8.00390625" customWidth="1"/>
    <col min="9" max="9" style="13782" width="64.00390625" customWidth="1"/>
    <col min="10" max="10" style="13782" width="9.140625" hidden="1"/>
  </cols>
  <sheetData>
    <row customHeight="1" ht="11.25" hidden="1">
      <c r="A1" s="1913" t="s">
        <v>304</v>
      </c>
      <c r="J1" s="682" t="s">
        <v>14</v>
      </c>
    </row>
    <row customHeight="1" ht="11.25" hidden="1">
      <c r="J2" s="682">
        <v>0</v>
      </c>
    </row>
    <row s="13696" customFormat="1" customHeight="1" ht="11.549999999999999">
      <c r="A3" s="1913"/>
      <c r="B3" s="728"/>
      <c r="D3" s="705"/>
      <c r="J3" s="704">
        <v>11</v>
      </c>
    </row>
    <row customHeight="1" ht="27.299999999999997">
      <c r="D4" s="2384" t="str">
        <f>ORG_INFO_NAME_FORM</f>
        <v>Форма 1. Информация об организации, осуществляющей холодное водоснабжение (общая информация)</v>
      </c>
      <c r="E4" s="2385"/>
      <c r="F4" s="2386"/>
      <c r="I4" s="942"/>
      <c r="J4" s="682">
        <v>26</v>
      </c>
    </row>
    <row customHeight="1" ht="18">
      <c r="D5" s="2403" t="str">
        <f>IF(org=0,"Не определено",org)</f>
        <v>МУП "Уссурийск-Водоканал"</v>
      </c>
      <c r="E5" s="2403"/>
      <c r="F5" s="2403"/>
      <c r="I5" s="942"/>
      <c r="J5" s="682">
        <v>17</v>
      </c>
    </row>
    <row s="13696"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88</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309</v>
      </c>
      <c r="F11" s="1238" t="str">
        <f>IF(region_name="","",region_name)</f>
        <v>Приморский край</v>
      </c>
      <c r="G11" s="1239" t="s">
        <v>310</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311</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312</v>
      </c>
      <c r="E14" s="1237" t="s">
        <v>313</v>
      </c>
      <c r="F14" s="1238" t="str">
        <f>IF(inn="","",inn)</f>
        <v>2511040110</v>
      </c>
      <c r="G14" s="1239" t="s">
        <v>314</v>
      </c>
      <c r="H14" s="702"/>
      <c r="J14" s="682">
        <v>0</v>
      </c>
    </row>
    <row customHeight="1" ht="22.5" hidden="1">
      <c r="A15" s="684"/>
      <c r="B15" s="729"/>
      <c r="C15" s="684"/>
      <c r="D15" s="1236" t="s">
        <v>315</v>
      </c>
      <c r="E15" s="1237" t="s">
        <v>316</v>
      </c>
      <c r="F15" s="1238" t="str">
        <f>IF(kpp="","",kpp)</f>
        <v>251101001</v>
      </c>
      <c r="G15" s="1239" t="s">
        <v>317</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3738" customFormat="1" customHeight="1" ht="24.75" hidden="1">
      <c r="A25" s="684"/>
      <c r="B25" s="729"/>
      <c r="C25" s="729"/>
      <c r="D25" s="1233" t="s">
        <v>90</v>
      </c>
      <c r="E25" s="1235" t="s">
        <v>328</v>
      </c>
      <c r="F25" s="1240" t="s">
        <v>311</v>
      </c>
      <c r="G25" s="1235"/>
      <c r="J25" s="728">
        <v>0</v>
      </c>
    </row>
    <row s="13738" customFormat="1" customHeight="1" ht="11.25" hidden="1">
      <c r="A26" s="684"/>
      <c r="B26" s="729"/>
      <c r="C26" s="729"/>
      <c r="D26" s="1233" t="s">
        <v>329</v>
      </c>
      <c r="E26" s="1234" t="s">
        <v>330</v>
      </c>
      <c r="F26" s="1240" t="s">
        <v>311</v>
      </c>
      <c r="G26" s="1235"/>
      <c r="J26" s="728">
        <v>0</v>
      </c>
    </row>
    <row s="13738"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28">
        <v>0</v>
      </c>
    </row>
    <row s="13738"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28">
        <v>0</v>
      </c>
    </row>
    <row s="13738"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28">
        <v>0</v>
      </c>
    </row>
    <row s="13738" customFormat="1" customHeight="1" ht="11.25" hidden="1">
      <c r="A30" s="684"/>
      <c r="B30" s="729"/>
      <c r="C30" s="729"/>
      <c r="D30" s="1233" t="s">
        <v>337</v>
      </c>
      <c r="E30" s="1234" t="s">
        <v>338</v>
      </c>
      <c r="F30" s="1242"/>
      <c r="G30" s="1235"/>
      <c r="J30" s="728">
        <v>0</v>
      </c>
    </row>
    <row s="13738" customFormat="1" customHeight="1" ht="11.25" hidden="1">
      <c r="A31" s="684"/>
      <c r="B31" s="729"/>
      <c r="C31" s="729"/>
      <c r="D31" s="1233" t="s">
        <v>339</v>
      </c>
      <c r="E31" s="1234" t="s">
        <v>340</v>
      </c>
      <c r="F31" s="1242"/>
      <c r="G31" s="1235"/>
      <c r="J31" s="728">
        <v>0</v>
      </c>
    </row>
    <row s="13738" customFormat="1" customHeight="1" ht="11.25" hidden="1">
      <c r="A32" s="684"/>
      <c r="B32" s="729"/>
      <c r="C32" s="729"/>
      <c r="D32" s="1233" t="s">
        <v>341</v>
      </c>
      <c r="E32" s="1234" t="s">
        <v>342</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311</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343</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343</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345</v>
      </c>
      <c r="H44" s="702"/>
      <c r="J44" s="682">
        <v>22</v>
      </c>
    </row>
    <row customHeight="1" ht="23.25">
      <c r="A45" s="684"/>
      <c r="B45" s="729"/>
      <c r="C45" s="684"/>
      <c r="D45" s="667">
        <f>D44+1</f>
        <v>11</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347</v>
      </c>
      <c r="H46" s="702"/>
      <c r="J46" s="682">
        <v>23</v>
      </c>
    </row>
    <row customHeight="1" ht="24">
      <c r="A47" s="2429"/>
      <c r="B47" s="729"/>
      <c r="C47" s="719"/>
      <c r="D47" s="667" t="str">
        <f>D45&amp;".2"</f>
        <v>11.2</v>
      </c>
      <c r="E47" s="669" t="s">
        <v>348</v>
      </c>
      <c r="F47" s="717"/>
      <c r="G47" s="664" t="s">
        <v>349</v>
      </c>
      <c r="H47" s="702"/>
      <c r="J47" s="682">
        <v>23</v>
      </c>
    </row>
    <row customHeight="1" ht="24">
      <c r="A48" s="2429"/>
      <c r="B48" s="729"/>
      <c r="C48" s="719"/>
      <c r="D48" s="667" t="str">
        <f>D45&amp;".3"</f>
        <v>11.3</v>
      </c>
      <c r="E48" s="669" t="s">
        <v>350</v>
      </c>
      <c r="F48" s="717"/>
      <c r="G48" s="664" t="s">
        <v>351</v>
      </c>
      <c r="H48" s="702"/>
      <c r="J48" s="682">
        <v>23</v>
      </c>
    </row>
    <row customHeight="1" ht="24">
      <c r="A49" s="2429"/>
      <c r="B49" s="729"/>
      <c r="C49" s="719"/>
      <c r="D49" s="667" t="str">
        <f>IF(TEMPLATE_SPHERE="TKO",D45&amp;".0",D45&amp;".4")</f>
        <v>11.4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12</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3767"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3767" customFormat="1" customHeight="1" ht="42">
      <c r="A54" s="684"/>
      <c r="B54" s="729"/>
      <c r="C54" s="2430"/>
      <c r="D54" s="24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4AE67-DB6D-A777-8547-FBF233F7BCA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105" width="9.140625" hidden="1" customWidth="1"/>
    <col min="2" max="2" style="13141" width="9.140625" hidden="1" customWidth="1"/>
    <col min="3" max="3" style="13310" width="3.00390625" customWidth="1"/>
    <col min="4" max="4" style="13141" width="5.00390625" customWidth="1"/>
    <col min="5" max="5" style="13141" width="48.00390625" customWidth="1"/>
    <col min="6" max="6" style="13141" width="38.00390625" customWidth="1"/>
    <col min="7" max="7" style="13141" width="1.7109375" hidden="1" customWidth="1"/>
    <col min="8" max="11" style="13141" width="19.8515625" hidden="1" customWidth="1"/>
    <col min="12" max="12" style="13141" width="9.7109375" hidden="1" customWidth="1"/>
    <col min="13" max="18" style="13141" width="19.8515625" hidden="1" customWidth="1"/>
    <col min="19" max="19" style="13141" width="1.7109375" hidden="1" customWidth="1"/>
    <col min="20" max="22" style="13141" width="19.8515625" hidden="1" customWidth="1"/>
    <col min="23" max="23" style="13141" width="1.7109375" hidden="1" customWidth="1"/>
    <col min="24" max="26" style="13141" width="19.8515625" customWidth="1"/>
    <col min="27" max="27" style="13141" width="1.7109375" hidden="1" customWidth="1"/>
    <col min="28" max="29" style="13141" width="19.8515625" hidden="1" customWidth="1"/>
    <col min="30" max="30" style="13141" width="1.7109375" hidden="1" customWidth="1"/>
    <col min="31" max="32" style="13141" width="103.7109375" hidden="1" customWidth="1"/>
    <col min="33" max="33" style="13141" width="103.7109375" customWidth="1"/>
    <col min="34" max="34" style="13141" width="103.7109375" hidden="1" customWidth="1"/>
    <col min="35" max="35" style="13237" width="3.00390625" customWidth="1"/>
    <col min="36" max="38" style="13222" width="10.00390625" customWidth="1"/>
    <col min="39" max="39" style="13222" width="13.7109375" hidden="1" customWidth="1"/>
    <col min="40" max="40" style="13222" width="15.00390625" customWidth="1"/>
    <col min="41" max="41" style="13222" width="16.00390625" customWidth="1"/>
    <col min="42" max="45" style="13222" width="10.00390625" customWidth="1"/>
    <col min="46" max="46" style="13141"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3786"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холодное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3141" customFormat="1" customHeight="1" ht="18">
      <c r="A5" s="986"/>
      <c r="C5" s="1049"/>
      <c r="D5" s="2441" t="str">
        <f>IF(org=0,"Не определено",org)</f>
        <v>МУП "Уссурийск-Водоканал"</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3116"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88</v>
      </c>
      <c r="E8" s="2450" t="str">
        <f>"Наименование "&amp;IF(TEMPLATE_SPHERE&lt;&gt;"HEAT","централизованной ","")&amp;"системы "&amp;TEMPLATE_SPHERE_RUS</f>
        <v>Наименование централизованной системы холодного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3827"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84AD6-F132-B243-E26E-4CD9ECAC09F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105" width="9.140625" hidden="1" customWidth="1"/>
    <col min="2" max="2" style="13141" width="9.140625" hidden="1" customWidth="1"/>
    <col min="3" max="3" style="13310" width="3.00390625" customWidth="1"/>
    <col min="4" max="4" style="13141" width="5.00390625" customWidth="1"/>
    <col min="5" max="5" style="13141" width="38.00390625" customWidth="1"/>
    <col min="6" max="7" style="13141" width="3.00390625" customWidth="1"/>
    <col min="8" max="8" style="13141" width="38.00390625" customWidth="1"/>
    <col min="9" max="9" style="13141" width="35.00390625" customWidth="1"/>
    <col min="10" max="10" style="13141" width="103.00390625" customWidth="1"/>
    <col min="11" max="11" style="13237" width="3.00390625" customWidth="1"/>
    <col min="12" max="14" style="13222" width="10.00390625" customWidth="1"/>
    <col min="15" max="15" style="13222" width="13.00390625" customWidth="1"/>
    <col min="16" max="16" style="13222" width="15.00390625" customWidth="1"/>
    <col min="17" max="17" style="13222" width="16.00390625" customWidth="1"/>
    <col min="18" max="21" style="13222" width="10.00390625" customWidth="1"/>
    <col min="22" max="22" style="13141" width="10.57421875" hidden="1"/>
  </cols>
  <sheetData>
    <row customHeight="1" ht="22.5" hidden="1">
      <c r="E1" s="639"/>
      <c r="F1" s="639"/>
      <c r="G1" s="639"/>
      <c r="H1" s="2444" t="s">
        <v>357</v>
      </c>
      <c r="I1" s="2444"/>
      <c r="V1" s="1834" t="s">
        <v>14</v>
      </c>
    </row>
    <row s="13141" customFormat="1" customHeight="1" ht="14.25" hidden="1">
      <c r="C2" s="1846"/>
      <c r="D2" s="2460" t="s">
        <v>109</v>
      </c>
      <c r="E2" s="2462"/>
      <c r="F2" s="1852"/>
      <c r="G2" s="1847" t="s">
        <v>109</v>
      </c>
      <c r="H2" s="1850"/>
      <c r="I2" s="1848"/>
      <c r="L2" s="1849"/>
      <c r="M2" s="1849"/>
      <c r="N2" s="1849"/>
      <c r="O2" s="1849" t="s">
        <v>387</v>
      </c>
      <c r="P2" s="1849"/>
      <c r="Q2" s="1849"/>
      <c r="R2" s="1851" t="s">
        <v>386</v>
      </c>
      <c r="S2" s="1851" t="s">
        <v>386</v>
      </c>
      <c r="T2" s="1849"/>
      <c r="U2" s="1849"/>
      <c r="V2" s="1845">
        <v>0</v>
      </c>
    </row>
    <row s="13141"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3786"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МУП "Уссурийск-Водоканал"</v>
      </c>
      <c r="E7" s="2403"/>
      <c r="F7" s="2403"/>
      <c r="G7" s="2403"/>
      <c r="H7" s="2403"/>
      <c r="I7" s="2403"/>
      <c r="J7" s="718"/>
      <c r="K7" s="1842"/>
      <c r="V7" s="1834">
        <v>17</v>
      </c>
    </row>
    <row s="13116"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3116"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88</v>
      </c>
      <c r="E11" s="2450" t="s">
        <v>105</v>
      </c>
      <c r="F11" s="2419" t="s">
        <v>88</v>
      </c>
      <c r="G11" s="2420"/>
      <c r="H11" s="2402" t="s">
        <v>390</v>
      </c>
      <c r="I11" s="2402" t="s">
        <v>391</v>
      </c>
      <c r="J11" s="2450"/>
      <c r="V11" s="1834">
        <v>26</v>
      </c>
    </row>
    <row customHeight="1" ht="14.699999999999998">
      <c r="C12" s="1743"/>
      <c r="D12" s="2354"/>
      <c r="E12" s="2450"/>
      <c r="F12" s="2427"/>
      <c r="G12" s="2428"/>
      <c r="H12" s="2459"/>
      <c r="I12" s="2459"/>
      <c r="J12" s="2450"/>
      <c r="V12" s="1834">
        <v>14</v>
      </c>
    </row>
    <row s="13827"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9C435-BDCF-039C-EB2F-DB193D3DE2B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105" width="9.140625" hidden="1" customWidth="1"/>
    <col min="2" max="3" style="13141" width="9.140625" hidden="1" customWidth="1"/>
    <col min="4" max="4" style="13310" width="3.00390625" customWidth="1"/>
    <col min="5" max="5" style="13141" width="6.00390625" customWidth="1"/>
    <col min="6" max="6" style="13141" width="1.7109375" hidden="1" customWidth="1"/>
    <col min="7" max="8" style="13141" width="30.00390625" customWidth="1"/>
    <col min="9" max="9" style="13141" width="8.00390625" customWidth="1"/>
    <col min="10" max="10" style="13141" width="12.140625" customWidth="1"/>
    <col min="11" max="11" style="13141" width="46.00390625" customWidth="1"/>
    <col min="12" max="12" style="13141" width="100.00390625" customWidth="1"/>
    <col min="13" max="13" style="13237" width="7.00390625" customWidth="1"/>
    <col min="14" max="22" style="13141" width="10.00390625" customWidth="1"/>
    <col min="23" max="23" style="13141" width="10.57421875" hidden="1"/>
  </cols>
  <sheetData>
    <row s="13222" customFormat="1" customHeight="1" ht="5.25" hidden="1">
      <c r="C1" s="738"/>
      <c r="D1" s="721"/>
      <c r="F1" s="738"/>
      <c r="G1" s="716" t="s">
        <v>83</v>
      </c>
      <c r="H1" s="716" t="s">
        <v>84</v>
      </c>
      <c r="I1" s="716" t="s">
        <v>85</v>
      </c>
      <c r="P1" s="716" t="s">
        <v>83</v>
      </c>
      <c r="Q1" s="716" t="s">
        <v>84</v>
      </c>
      <c r="R1" s="716" t="s">
        <v>85</v>
      </c>
      <c r="W1" s="716" t="s">
        <v>14</v>
      </c>
    </row>
    <row s="13222" customFormat="1" customHeight="1" ht="5.25" hidden="1">
      <c r="C2" s="738"/>
      <c r="D2" s="721"/>
      <c r="F2" s="738"/>
      <c r="W2" s="716">
        <v>0</v>
      </c>
    </row>
    <row s="13116"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3141" customFormat="1" customHeight="1" ht="18">
      <c r="A5" s="986"/>
      <c r="D5" s="1049"/>
      <c r="E5" s="2441" t="str">
        <f>IF(org=0,"Не определено",org)</f>
        <v>МУП "Уссурийск-Водоканал"</v>
      </c>
      <c r="F5" s="2441"/>
      <c r="G5" s="2442"/>
      <c r="H5" s="2442"/>
      <c r="I5" s="2443"/>
      <c r="J5" s="718"/>
      <c r="K5" s="680"/>
      <c r="L5" s="680"/>
      <c r="M5" s="734"/>
      <c r="W5" s="985">
        <v>17</v>
      </c>
    </row>
    <row s="13116"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88</v>
      </c>
      <c r="F8" s="1050"/>
      <c r="G8" s="692" t="s">
        <v>86</v>
      </c>
      <c r="H8" s="692" t="s">
        <v>87</v>
      </c>
      <c r="I8" s="641" t="s">
        <v>85</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3116" customFormat="1" customHeight="1" ht="15">
      <c r="A12" s="2326"/>
      <c r="B12" s="731"/>
      <c r="C12" s="731"/>
      <c r="D12" s="1093"/>
      <c r="E12" s="1050">
        <v>1</v>
      </c>
      <c r="F12" s="1091">
        <v>23</v>
      </c>
      <c r="G12" s="1090"/>
      <c r="H12" s="1020"/>
      <c r="I12" s="1018"/>
      <c r="J12" s="747" t="s">
        <v>66</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43C1A-2056-42AE-483E-01FDD27C759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2.00390625" hidden="1" customWidth="1"/>
    <col min="10" max="10" style="13221" width="9.8515625" hidden="1" customWidth="1"/>
    <col min="11" max="11" style="13221" width="11.421875" hidden="1" customWidth="1"/>
    <col min="12" max="12" style="14071" width="19.140625" hidden="1" customWidth="1"/>
    <col min="13" max="14" style="14072" width="12.28125" hidden="1" customWidth="1"/>
    <col min="15" max="15" style="14072" width="23.421875" hidden="1" customWidth="1"/>
    <col min="16" max="16" style="14073" width="3.00390625" customWidth="1"/>
    <col min="17" max="18" style="14074" width="3.00390625" customWidth="1"/>
    <col min="19" max="19" style="14075" width="12.00390625" customWidth="1"/>
    <col min="20" max="20" style="13141" width="35.00390625" customWidth="1"/>
    <col min="21" max="21" style="13141" width="0.140625" customWidth="1"/>
    <col min="22" max="22" style="13141" width="24.7109375" hidden="1" customWidth="1"/>
    <col min="23" max="23" style="13141" width="0.140625" hidden="1" customWidth="1"/>
    <col min="24" max="25" style="13141" width="24.7109375" hidden="1" customWidth="1"/>
    <col min="26" max="26" style="13141" width="11.7109375" hidden="1" customWidth="1"/>
    <col min="27" max="27" style="13141" width="3.7109375" hidden="1" customWidth="1"/>
    <col min="28" max="28" style="13141" width="11.7109375" hidden="1" customWidth="1"/>
    <col min="29" max="29" style="13141" width="8.57421875" hidden="1" customWidth="1"/>
    <col min="30" max="30" style="13141" width="24.7109375" customWidth="1"/>
    <col min="31" max="31" style="13141" width="0.140625" customWidth="1"/>
    <col min="32" max="33" style="13141" width="24.00390625" customWidth="1"/>
    <col min="34" max="34" style="13141" width="11.00390625" customWidth="1"/>
    <col min="35" max="35" style="13141" width="3.7109375" customWidth="1"/>
    <col min="36" max="36" style="13141" width="11.00390625" customWidth="1"/>
    <col min="37" max="37" style="13141" width="8.57421875" hidden="1" customWidth="1"/>
    <col min="38" max="38" style="13141" width="4.00390625" customWidth="1"/>
    <col min="39" max="39" style="13141" width="115.00390625" customWidth="1"/>
    <col min="40" max="44" style="13222" width="10.00390625" customWidth="1"/>
    <col min="45" max="45" style="1314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322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22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229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22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3221"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3221" customFormat="1" customHeight="1" ht="14.25" hidden="1">
      <c r="L21" s="1556"/>
      <c r="M21" s="1589"/>
      <c r="N21" s="1589"/>
      <c r="O21" s="1589"/>
      <c r="P21" s="1589"/>
      <c r="Q21" s="1598"/>
      <c r="R21" s="1598"/>
      <c r="S21" s="956"/>
      <c r="AC21" s="1593"/>
      <c r="AK21" s="1593"/>
      <c r="AN21" s="738"/>
      <c r="AO21" s="738"/>
      <c r="AP21" s="738"/>
      <c r="AQ21" s="738"/>
      <c r="AR21" s="738"/>
      <c r="AS21" s="1387">
        <v>0</v>
      </c>
    </row>
    <row s="13221"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МУП "Уссурийск-Водоканал"</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34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3348"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27-2085</v>
      </c>
      <c r="W31" s="2478"/>
      <c r="X31" s="2478"/>
      <c r="Y31" s="2478"/>
      <c r="Z31" s="2478"/>
      <c r="AA31" s="2478"/>
      <c r="AB31" s="2478"/>
      <c r="AC31" s="553"/>
      <c r="AD31" s="2478" t="str">
        <f>IF(TITLE_NUMBER_PR_CHANGE="",IF(TITLE_NUMBER_PR="","",TITLE_NUMBER_PR),TITLE_NUMBER_PR_CHANGE)</f>
        <v>27-2085</v>
      </c>
      <c r="AE31" s="2478"/>
      <c r="AF31" s="2478"/>
      <c r="AG31" s="2478"/>
      <c r="AH31" s="2478"/>
      <c r="AI31" s="2478"/>
      <c r="AJ31" s="2478"/>
      <c r="AK31" s="553"/>
      <c r="AL31" s="553"/>
      <c r="AM31" s="507"/>
      <c r="AN31" s="595"/>
      <c r="AO31" s="595"/>
      <c r="AP31" s="595"/>
      <c r="AQ31" s="595"/>
      <c r="AR31" s="595"/>
      <c r="AS31" s="645">
        <v>0</v>
      </c>
    </row>
    <row s="1334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348"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3348"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27-2085</v>
      </c>
      <c r="W35" s="2478"/>
      <c r="X35" s="2478"/>
      <c r="Y35" s="2478"/>
      <c r="Z35" s="2478"/>
      <c r="AA35" s="2478"/>
      <c r="AB35" s="2478"/>
      <c r="AC35" s="553"/>
      <c r="AD35" s="2478" t="str">
        <f>IF(TITLE_NUMBER_PR_CHANGE="",IF(TITLE_NUMBER_PR="","",TITLE_NUMBER_PR),TITLE_NUMBER_PR_CHANGE)</f>
        <v>27-2085</v>
      </c>
      <c r="AE35" s="2478"/>
      <c r="AF35" s="2478"/>
      <c r="AG35" s="2478"/>
      <c r="AH35" s="2478"/>
      <c r="AI35" s="2478"/>
      <c r="AJ35" s="2478"/>
      <c r="AK35" s="553"/>
      <c r="AL35" s="553"/>
      <c r="AM35" s="507"/>
      <c r="AN35" s="595"/>
      <c r="AO35" s="595"/>
      <c r="AP35" s="595"/>
      <c r="AQ35" s="595"/>
      <c r="AR35" s="595"/>
      <c r="AS35" s="645">
        <v>0</v>
      </c>
    </row>
    <row s="13348"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135</v>
      </c>
      <c r="C41" s="1597" t="s">
        <v>136</v>
      </c>
      <c r="D41" s="1597" t="s">
        <v>137</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382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3222"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3222"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229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3222"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230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322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01C54-8AA1-A24D-2F09-4E99D22054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2.00390625" hidden="1" customWidth="1"/>
    <col min="10" max="10" style="13221" width="9.8515625" hidden="1" customWidth="1"/>
    <col min="11" max="11" style="13221" width="11.421875" hidden="1" customWidth="1"/>
    <col min="12" max="12" style="14071" width="19.140625" hidden="1" customWidth="1"/>
    <col min="13" max="14" style="14072" width="12.28125" hidden="1" customWidth="1"/>
    <col min="15" max="15" style="14072" width="23.421875" hidden="1" customWidth="1"/>
    <col min="16" max="16" style="14073" width="3.00390625" customWidth="1"/>
    <col min="17" max="18" style="14074" width="3.00390625" customWidth="1"/>
    <col min="19" max="19" style="14075" width="12.00390625" customWidth="1"/>
    <col min="20" max="20" style="13141" width="31.00390625" customWidth="1"/>
    <col min="21" max="21" style="13141" width="0.140625" customWidth="1"/>
    <col min="22" max="22" style="13141" width="24.7109375" hidden="1" customWidth="1"/>
    <col min="23" max="23" style="13141" width="0.140625" hidden="1" customWidth="1"/>
    <col min="24" max="25" style="13141" width="24.7109375" hidden="1" customWidth="1"/>
    <col min="26" max="26" style="13141" width="11.7109375" hidden="1" customWidth="1"/>
    <col min="27" max="27" style="13141" width="3.7109375" hidden="1" customWidth="1"/>
    <col min="28" max="28" style="13141" width="11.7109375" hidden="1" customWidth="1"/>
    <col min="29" max="29" style="13141" width="8.57421875" hidden="1" customWidth="1"/>
    <col min="30" max="30" style="13141" width="24.7109375" customWidth="1"/>
    <col min="31" max="31" style="13141" width="0.140625" customWidth="1"/>
    <col min="32" max="33" style="13141" width="24.00390625" customWidth="1"/>
    <col min="34" max="34" style="13141" width="11.00390625" customWidth="1"/>
    <col min="35" max="35" style="13141" width="3.7109375" customWidth="1"/>
    <col min="36" max="36" style="13141" width="11.00390625" customWidth="1"/>
    <col min="37" max="37" style="13141" width="8.57421875" hidden="1" customWidth="1"/>
    <col min="38" max="38" style="13141" width="4.00390625" customWidth="1"/>
    <col min="39" max="39" style="13141" width="115.00390625" customWidth="1"/>
    <col min="40" max="44" style="13222" width="10.00390625" customWidth="1"/>
    <col min="45" max="45" style="1314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322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22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229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22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3221"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3221" customFormat="1" customHeight="1" ht="14.25" hidden="1">
      <c r="L21" s="1556"/>
      <c r="M21" s="1589"/>
      <c r="N21" s="1589"/>
      <c r="O21" s="1589"/>
      <c r="P21" s="1589"/>
      <c r="Q21" s="1598"/>
      <c r="R21" s="1598"/>
      <c r="S21" s="956"/>
      <c r="AC21" s="1593"/>
      <c r="AK21" s="1593"/>
      <c r="AN21" s="738"/>
      <c r="AO21" s="738"/>
      <c r="AP21" s="738"/>
      <c r="AQ21" s="738"/>
      <c r="AR21" s="738"/>
      <c r="AS21" s="1387">
        <v>0</v>
      </c>
    </row>
    <row s="13221"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МУП "Уссурийск-Водоканал"</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34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3348"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27-2085</v>
      </c>
      <c r="W31" s="2478"/>
      <c r="X31" s="2478"/>
      <c r="Y31" s="2478"/>
      <c r="Z31" s="2478"/>
      <c r="AA31" s="2478"/>
      <c r="AB31" s="2478"/>
      <c r="AC31" s="553"/>
      <c r="AD31" s="2478" t="str">
        <f>IF(TITLE_NUMBER_PR_CHANGE="",IF(TITLE_NUMBER_PR="","",TITLE_NUMBER_PR),TITLE_NUMBER_PR_CHANGE)</f>
        <v>27-2085</v>
      </c>
      <c r="AE31" s="2478"/>
      <c r="AF31" s="2478"/>
      <c r="AG31" s="2478"/>
      <c r="AH31" s="2478"/>
      <c r="AI31" s="2478"/>
      <c r="AJ31" s="2478"/>
      <c r="AK31" s="553"/>
      <c r="AL31" s="553"/>
      <c r="AM31" s="507"/>
      <c r="AN31" s="595"/>
      <c r="AO31" s="595"/>
      <c r="AP31" s="595"/>
      <c r="AQ31" s="595"/>
      <c r="AR31" s="595"/>
      <c r="AS31" s="645">
        <v>0</v>
      </c>
    </row>
    <row s="1334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348"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3348"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27-2085</v>
      </c>
      <c r="W35" s="2478"/>
      <c r="X35" s="2478"/>
      <c r="Y35" s="2478"/>
      <c r="Z35" s="2478"/>
      <c r="AA35" s="2478"/>
      <c r="AB35" s="2478"/>
      <c r="AC35" s="553"/>
      <c r="AD35" s="2478" t="str">
        <f>IF(TITLE_NUMBER_PR_CHANGE="",IF(TITLE_NUMBER_PR="","",TITLE_NUMBER_PR),TITLE_NUMBER_PR_CHANGE)</f>
        <v>27-2085</v>
      </c>
      <c r="AE35" s="2478"/>
      <c r="AF35" s="2478"/>
      <c r="AG35" s="2478"/>
      <c r="AH35" s="2478"/>
      <c r="AI35" s="2478"/>
      <c r="AJ35" s="2478"/>
      <c r="AK35" s="553"/>
      <c r="AL35" s="553"/>
      <c r="AM35" s="507"/>
      <c r="AN35" s="595"/>
      <c r="AO35" s="595"/>
      <c r="AP35" s="595"/>
      <c r="AQ35" s="595"/>
      <c r="AR35" s="595"/>
      <c r="AS35" s="645">
        <v>0</v>
      </c>
    </row>
    <row s="1334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135</v>
      </c>
      <c r="C41" s="1597" t="s">
        <v>136</v>
      </c>
      <c r="D41" s="1597" t="s">
        <v>137</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382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3222"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3222"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229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3222"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230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322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C7D87-8358-F08B-54BA-A9C8862884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141" width="10.57421875" hidden="1"/>
    <col min="2" max="2" style="13141" width="11.00390625" hidden="1" customWidth="1"/>
    <col min="3" max="3" style="13141" width="10.57421875" hidden="1"/>
    <col min="4" max="4" style="13141" width="11.8515625" hidden="1" customWidth="1"/>
    <col min="5" max="5" style="13141" width="10.00390625" hidden="1" customWidth="1"/>
    <col min="6" max="6" style="13141" width="8.7109375" hidden="1" customWidth="1"/>
    <col min="7" max="7" style="13141" width="7.57421875" hidden="1" customWidth="1"/>
    <col min="8" max="8" style="13141" width="11.421875" hidden="1" customWidth="1"/>
    <col min="9" max="9" style="13141" width="12.00390625" hidden="1" customWidth="1"/>
    <col min="10" max="10" style="13141" width="9.8515625" hidden="1" customWidth="1"/>
    <col min="11" max="11" style="13141" width="11.421875" hidden="1" customWidth="1"/>
    <col min="12" max="12" style="13219" width="19.140625" hidden="1" customWidth="1"/>
    <col min="13" max="14" style="14073" width="12.28125" hidden="1" customWidth="1"/>
    <col min="15" max="15" style="14073" width="23.421875" hidden="1" customWidth="1"/>
    <col min="16" max="16" style="14073" width="3.00390625" customWidth="1"/>
    <col min="17" max="18" style="14074" width="3.00390625" customWidth="1"/>
    <col min="19" max="19" style="14075" width="12.00390625" customWidth="1"/>
    <col min="20" max="20" style="13141" width="31.00390625" customWidth="1"/>
    <col min="21" max="21" style="13141" width="0.140625" customWidth="1"/>
    <col min="22" max="22" style="13141" width="24.7109375" hidden="1" customWidth="1"/>
    <col min="23" max="23" style="13141" width="0.140625" hidden="1" customWidth="1"/>
    <col min="24" max="25" style="13141" width="24.7109375" hidden="1" customWidth="1"/>
    <col min="26" max="26" style="13141" width="11.7109375" hidden="1" customWidth="1"/>
    <col min="27" max="27" style="13141" width="3.7109375" hidden="1" customWidth="1"/>
    <col min="28" max="28" style="13141" width="11.7109375" hidden="1" customWidth="1"/>
    <col min="29" max="29" style="13141" width="8.57421875" hidden="1" customWidth="1"/>
    <col min="30" max="30" style="13141" width="24.7109375" customWidth="1"/>
    <col min="31" max="31" style="13141" width="0.140625" customWidth="1"/>
    <col min="32" max="33" style="13141" width="24.00390625" customWidth="1"/>
    <col min="34" max="34" style="13141" width="11.00390625" customWidth="1"/>
    <col min="35" max="35" style="13141" width="3.7109375" customWidth="1"/>
    <col min="36" max="36" style="13141" width="11.00390625" customWidth="1"/>
    <col min="37" max="37" style="13141" width="8.57421875" hidden="1" customWidth="1"/>
    <col min="38" max="38" style="13141" width="4.00390625" customWidth="1"/>
    <col min="39" max="39" style="13141" width="115.00390625" customWidth="1"/>
    <col min="40" max="44" style="13222" width="10.00390625" customWidth="1"/>
    <col min="45" max="45" style="13141"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3222"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3222"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229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3222"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230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3221"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322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3221"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МУП "Уссурийск-Водоканал"</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334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3348"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45408</v>
      </c>
      <c r="W30" s="2491"/>
      <c r="X30" s="2491"/>
      <c r="Y30" s="2491"/>
      <c r="Z30" s="2491"/>
      <c r="AA30" s="2491"/>
      <c r="AB30" s="2491"/>
      <c r="AC30" s="1862"/>
      <c r="AD30" s="2491" t="str">
        <f>IF(TITLE_DATE_PR_CHANGE="",IF(TITLE_DATE_PR="","",TITLE_DATE_PR),TITLE_DATE_PR_CHANGE)</f>
        <v>45408</v>
      </c>
      <c r="AE30" s="2491"/>
      <c r="AF30" s="2491"/>
      <c r="AG30" s="2491"/>
      <c r="AH30" s="2491"/>
      <c r="AI30" s="2491"/>
      <c r="AJ30" s="2491"/>
      <c r="AK30" s="1862"/>
      <c r="AL30" s="1862"/>
      <c r="AM30" s="507"/>
      <c r="AN30" s="595"/>
      <c r="AO30" s="595"/>
      <c r="AP30" s="595"/>
      <c r="AQ30" s="595"/>
      <c r="AR30" s="595"/>
      <c r="AS30" s="645">
        <v>0</v>
      </c>
    </row>
    <row s="13348"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27-2085</v>
      </c>
      <c r="W31" s="2478"/>
      <c r="X31" s="2478"/>
      <c r="Y31" s="2478"/>
      <c r="Z31" s="2478"/>
      <c r="AA31" s="2478"/>
      <c r="AB31" s="2478"/>
      <c r="AC31" s="1862"/>
      <c r="AD31" s="2478" t="str">
        <f>IF(TITLE_NUMBER_PR_CHANGE="",IF(TITLE_NUMBER_PR="","",TITLE_NUMBER_PR),TITLE_NUMBER_PR_CHANGE)</f>
        <v>27-2085</v>
      </c>
      <c r="AE31" s="2478"/>
      <c r="AF31" s="2478"/>
      <c r="AG31" s="2478"/>
      <c r="AH31" s="2478"/>
      <c r="AI31" s="2478"/>
      <c r="AJ31" s="2478"/>
      <c r="AK31" s="1862"/>
      <c r="AL31" s="1862"/>
      <c r="AM31" s="507"/>
      <c r="AN31" s="595"/>
      <c r="AO31" s="595"/>
      <c r="AP31" s="595"/>
      <c r="AQ31" s="595"/>
      <c r="AR31" s="595"/>
      <c r="AS31" s="645">
        <v>0</v>
      </c>
    </row>
    <row s="1334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3348"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45408</v>
      </c>
      <c r="W34" s="2491"/>
      <c r="X34" s="2491"/>
      <c r="Y34" s="2491"/>
      <c r="Z34" s="2491"/>
      <c r="AA34" s="2491"/>
      <c r="AB34" s="2491"/>
      <c r="AC34" s="1862"/>
      <c r="AD34" s="2491" t="str">
        <f>IF(TITLE_DATE_PR_CHANGE="",IF(TITLE_DATE_PR="","",TITLE_DATE_PR),TITLE_DATE_PR_CHANGE)</f>
        <v>45408</v>
      </c>
      <c r="AE34" s="2491"/>
      <c r="AF34" s="2491"/>
      <c r="AG34" s="2491"/>
      <c r="AH34" s="2491"/>
      <c r="AI34" s="2491"/>
      <c r="AJ34" s="2491"/>
      <c r="AK34" s="1862"/>
      <c r="AL34" s="1862"/>
      <c r="AM34" s="507"/>
      <c r="AN34" s="595"/>
      <c r="AO34" s="595"/>
      <c r="AP34" s="595"/>
      <c r="AQ34" s="595"/>
      <c r="AR34" s="595"/>
      <c r="AS34" s="645">
        <v>0</v>
      </c>
    </row>
    <row s="13348"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27-2085</v>
      </c>
      <c r="W35" s="2478"/>
      <c r="X35" s="2478"/>
      <c r="Y35" s="2478"/>
      <c r="Z35" s="2478"/>
      <c r="AA35" s="2478"/>
      <c r="AB35" s="2478"/>
      <c r="AC35" s="1862"/>
      <c r="AD35" s="2478" t="str">
        <f>IF(TITLE_NUMBER_PR_CHANGE="",IF(TITLE_NUMBER_PR="","",TITLE_NUMBER_PR),TITLE_NUMBER_PR_CHANGE)</f>
        <v>27-2085</v>
      </c>
      <c r="AE35" s="2478"/>
      <c r="AF35" s="2478"/>
      <c r="AG35" s="2478"/>
      <c r="AH35" s="2478"/>
      <c r="AI35" s="2478"/>
      <c r="AJ35" s="2478"/>
      <c r="AK35" s="1862"/>
      <c r="AL35" s="1862"/>
      <c r="AM35" s="507"/>
      <c r="AN35" s="595"/>
      <c r="AO35" s="595"/>
      <c r="AP35" s="595"/>
      <c r="AQ35" s="595"/>
      <c r="AR35" s="595"/>
      <c r="AS35" s="645">
        <v>0</v>
      </c>
    </row>
    <row s="1334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135</v>
      </c>
      <c r="C41" s="1493" t="s">
        <v>136</v>
      </c>
      <c r="D41" s="1493" t="s">
        <v>137</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382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3222" customFormat="1" customHeight="1" ht="4.2">
      <c r="A54" s="1602" t="s">
        <v>210</v>
      </c>
      <c r="B54" s="1602" t="s">
        <v>211</v>
      </c>
      <c r="C54" s="1602" t="s">
        <v>212</v>
      </c>
      <c r="D54" s="1601"/>
      <c r="E54" s="2517"/>
      <c r="F54" s="2517"/>
      <c r="G54" s="2516"/>
      <c r="H54" s="1601"/>
      <c r="I54" s="1601"/>
      <c r="J54" s="1601"/>
      <c r="K54" s="1601"/>
      <c r="L54" s="1604"/>
      <c r="M54" s="1605"/>
      <c r="N54" s="1605"/>
      <c r="O54" s="578"/>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3222" customFormat="1" customHeight="1" ht="4.2">
      <c r="A55" s="1602" t="s">
        <v>210</v>
      </c>
      <c r="B55" s="1602" t="s">
        <v>211</v>
      </c>
      <c r="C55" s="1601"/>
      <c r="D55" s="1601"/>
      <c r="E55" s="2517"/>
      <c r="F55" s="2516"/>
      <c r="G55" s="1601"/>
      <c r="H55" s="1601"/>
      <c r="I55" s="1601"/>
      <c r="J55" s="1601"/>
      <c r="K55" s="1601"/>
      <c r="L55" s="1604"/>
      <c r="M55" s="1606"/>
      <c r="N55" s="1606"/>
      <c r="O55" s="578"/>
      <c r="P55" s="1543"/>
      <c r="Q55" s="1544"/>
      <c r="R55" s="1543"/>
      <c r="S55" s="1549"/>
      <c r="T55" s="1552" t="s">
        <v>229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3222" customFormat="1" customHeight="1" ht="4.2">
      <c r="A56" s="1602" t="s">
        <v>210</v>
      </c>
      <c r="B56" s="1602"/>
      <c r="C56" s="1602"/>
      <c r="D56" s="1602"/>
      <c r="E56" s="2516"/>
      <c r="F56" s="1602"/>
      <c r="G56" s="1602"/>
      <c r="H56" s="1602"/>
      <c r="I56" s="1602"/>
      <c r="J56" s="1602"/>
      <c r="K56" s="1602"/>
      <c r="L56" s="1608"/>
      <c r="M56" s="1606"/>
      <c r="N56" s="1606"/>
      <c r="O56" s="578"/>
      <c r="P56" s="607"/>
      <c r="Q56" s="1571"/>
      <c r="R56" s="607"/>
      <c r="S56" s="1549"/>
      <c r="T56" s="1552" t="s">
        <v>230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3222"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231</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18715-2F7B-3AB9-B991-A44F48AFD4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141" width="10.57421875" hidden="1"/>
    <col min="2" max="2" style="13141" width="11.00390625" hidden="1" customWidth="1"/>
    <col min="3" max="3" style="13141" width="10.57421875" hidden="1"/>
    <col min="4" max="4" style="13141" width="11.8515625" hidden="1" customWidth="1"/>
    <col min="5" max="5" style="13141" width="10.00390625" hidden="1" customWidth="1"/>
    <col min="6" max="6" style="13141" width="8.7109375" hidden="1" customWidth="1"/>
    <col min="7" max="7" style="13141" width="7.57421875" hidden="1" customWidth="1"/>
    <col min="8" max="8" style="13141" width="11.421875" hidden="1" customWidth="1"/>
    <col min="9" max="9" style="13141" width="12.00390625" hidden="1" customWidth="1"/>
    <col min="10" max="10" style="13141" width="9.8515625" hidden="1" customWidth="1"/>
    <col min="11" max="11" style="13141" width="11.421875" hidden="1" customWidth="1"/>
    <col min="12" max="12" style="13219" width="19.140625" hidden="1" customWidth="1"/>
    <col min="13" max="14" style="14073" width="12.28125" hidden="1" customWidth="1"/>
    <col min="15" max="15" style="14073" width="23.421875" hidden="1" customWidth="1"/>
    <col min="16" max="16" style="14073" width="3.00390625" customWidth="1"/>
    <col min="17" max="18" style="14074" width="3.00390625" customWidth="1"/>
    <col min="19" max="19" style="14075" width="12.00390625" customWidth="1"/>
    <col min="20" max="20" style="13141" width="31.00390625" customWidth="1"/>
    <col min="21" max="21" style="13141" width="0.140625" customWidth="1"/>
    <col min="22" max="22" style="13141" width="24.7109375" hidden="1" customWidth="1"/>
    <col min="23" max="23" style="13141" width="0.140625" hidden="1" customWidth="1"/>
    <col min="24" max="25" style="13141" width="24.7109375" hidden="1" customWidth="1"/>
    <col min="26" max="26" style="13141" width="11.7109375" hidden="1" customWidth="1"/>
    <col min="27" max="27" style="13141" width="3.7109375" hidden="1" customWidth="1"/>
    <col min="28" max="28" style="13141" width="11.7109375" hidden="1" customWidth="1"/>
    <col min="29" max="29" style="13141" width="8.57421875" hidden="1" customWidth="1"/>
    <col min="30" max="30" style="13141" width="24.7109375" customWidth="1"/>
    <col min="31" max="31" style="13141" width="0.140625" customWidth="1"/>
    <col min="32" max="33" style="13141" width="24.00390625" customWidth="1"/>
    <col min="34" max="34" style="13141" width="11.00390625" customWidth="1"/>
    <col min="35" max="35" style="13141" width="3.7109375" customWidth="1"/>
    <col min="36" max="36" style="13141" width="11.00390625" customWidth="1"/>
    <col min="37" max="37" style="13141" width="8.57421875" hidden="1" customWidth="1"/>
    <col min="38" max="38" style="13141" width="4.00390625" customWidth="1"/>
    <col min="39" max="39" style="13141" width="115.00390625" customWidth="1"/>
    <col min="40" max="44" style="13222" width="10.00390625" customWidth="1"/>
    <col min="45" max="45" style="13141"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3222"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3222"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229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3222"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230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3221"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322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3221"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МУП "Уссурийск-Водоканал"</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334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3348"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45408</v>
      </c>
      <c r="W30" s="2491"/>
      <c r="X30" s="2491"/>
      <c r="Y30" s="2491"/>
      <c r="Z30" s="2491"/>
      <c r="AA30" s="2491"/>
      <c r="AB30" s="2491"/>
      <c r="AC30" s="1862"/>
      <c r="AD30" s="2491" t="str">
        <f>IF(TITLE_DATE_PR_CHANGE="",IF(TITLE_DATE_PR="","",TITLE_DATE_PR),TITLE_DATE_PR_CHANGE)</f>
        <v>45408</v>
      </c>
      <c r="AE30" s="2491"/>
      <c r="AF30" s="2491"/>
      <c r="AG30" s="2491"/>
      <c r="AH30" s="2491"/>
      <c r="AI30" s="2491"/>
      <c r="AJ30" s="2491"/>
      <c r="AK30" s="1862"/>
      <c r="AL30" s="1862"/>
      <c r="AM30" s="507"/>
      <c r="AN30" s="595"/>
      <c r="AO30" s="595"/>
      <c r="AP30" s="595"/>
      <c r="AQ30" s="595"/>
      <c r="AR30" s="595"/>
      <c r="AS30" s="645">
        <v>0</v>
      </c>
    </row>
    <row s="13348"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27-2085</v>
      </c>
      <c r="W31" s="2478"/>
      <c r="X31" s="2478"/>
      <c r="Y31" s="2478"/>
      <c r="Z31" s="2478"/>
      <c r="AA31" s="2478"/>
      <c r="AB31" s="2478"/>
      <c r="AC31" s="1862"/>
      <c r="AD31" s="2478" t="str">
        <f>IF(TITLE_NUMBER_PR_CHANGE="",IF(TITLE_NUMBER_PR="","",TITLE_NUMBER_PR),TITLE_NUMBER_PR_CHANGE)</f>
        <v>27-2085</v>
      </c>
      <c r="AE31" s="2478"/>
      <c r="AF31" s="2478"/>
      <c r="AG31" s="2478"/>
      <c r="AH31" s="2478"/>
      <c r="AI31" s="2478"/>
      <c r="AJ31" s="2478"/>
      <c r="AK31" s="1862"/>
      <c r="AL31" s="1862"/>
      <c r="AM31" s="507"/>
      <c r="AN31" s="595"/>
      <c r="AO31" s="595"/>
      <c r="AP31" s="595"/>
      <c r="AQ31" s="595"/>
      <c r="AR31" s="595"/>
      <c r="AS31" s="645">
        <v>0</v>
      </c>
    </row>
    <row s="1334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3348"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45408</v>
      </c>
      <c r="W34" s="2491"/>
      <c r="X34" s="2491"/>
      <c r="Y34" s="2491"/>
      <c r="Z34" s="2491"/>
      <c r="AA34" s="2491"/>
      <c r="AB34" s="2491"/>
      <c r="AC34" s="1862"/>
      <c r="AD34" s="2491" t="str">
        <f>IF(TITLE_DATE_PR_CHANGE="",IF(TITLE_DATE_PR="","",TITLE_DATE_PR),TITLE_DATE_PR_CHANGE)</f>
        <v>45408</v>
      </c>
      <c r="AE34" s="2491"/>
      <c r="AF34" s="2491"/>
      <c r="AG34" s="2491"/>
      <c r="AH34" s="2491"/>
      <c r="AI34" s="2491"/>
      <c r="AJ34" s="2491"/>
      <c r="AK34" s="1862"/>
      <c r="AL34" s="1862"/>
      <c r="AM34" s="507"/>
      <c r="AN34" s="595"/>
      <c r="AO34" s="595"/>
      <c r="AP34" s="595"/>
      <c r="AQ34" s="595"/>
      <c r="AR34" s="595"/>
      <c r="AS34" s="645">
        <v>0</v>
      </c>
    </row>
    <row s="13348"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27-2085</v>
      </c>
      <c r="W35" s="2478"/>
      <c r="X35" s="2478"/>
      <c r="Y35" s="2478"/>
      <c r="Z35" s="2478"/>
      <c r="AA35" s="2478"/>
      <c r="AB35" s="2478"/>
      <c r="AC35" s="1862"/>
      <c r="AD35" s="2478" t="str">
        <f>IF(TITLE_NUMBER_PR_CHANGE="",IF(TITLE_NUMBER_PR="","",TITLE_NUMBER_PR),TITLE_NUMBER_PR_CHANGE)</f>
        <v>27-2085</v>
      </c>
      <c r="AE35" s="2478"/>
      <c r="AF35" s="2478"/>
      <c r="AG35" s="2478"/>
      <c r="AH35" s="2478"/>
      <c r="AI35" s="2478"/>
      <c r="AJ35" s="2478"/>
      <c r="AK35" s="1862"/>
      <c r="AL35" s="1862"/>
      <c r="AM35" s="507"/>
      <c r="AN35" s="595"/>
      <c r="AO35" s="595"/>
      <c r="AP35" s="595"/>
      <c r="AQ35" s="595"/>
      <c r="AR35" s="595"/>
      <c r="AS35" s="645">
        <v>0</v>
      </c>
    </row>
    <row s="1334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135</v>
      </c>
      <c r="C41" s="1493" t="s">
        <v>136</v>
      </c>
      <c r="D41" s="1493" t="s">
        <v>137</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382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3222" customFormat="1" customHeight="1" ht="1.05">
      <c r="A54" s="1494" t="s">
        <v>210</v>
      </c>
      <c r="B54" s="1494" t="s">
        <v>211</v>
      </c>
      <c r="C54" s="1494" t="s">
        <v>212</v>
      </c>
      <c r="D54" s="2201"/>
      <c r="E54" s="2517"/>
      <c r="F54" s="2517"/>
      <c r="G54" s="2516"/>
      <c r="H54" s="2201"/>
      <c r="I54" s="2201"/>
      <c r="J54" s="2201"/>
      <c r="K54" s="2201"/>
      <c r="L54" s="1607"/>
      <c r="M54" s="1837"/>
      <c r="N54" s="1837"/>
      <c r="O54" s="186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3222" customFormat="1" customHeight="1" ht="1.05">
      <c r="A55" s="1494" t="s">
        <v>210</v>
      </c>
      <c r="B55" s="1494" t="s">
        <v>211</v>
      </c>
      <c r="C55" s="2201"/>
      <c r="D55" s="2201"/>
      <c r="E55" s="2517"/>
      <c r="F55" s="2516"/>
      <c r="G55" s="2201"/>
      <c r="H55" s="2201"/>
      <c r="I55" s="2201"/>
      <c r="J55" s="2201"/>
      <c r="K55" s="2201"/>
      <c r="L55" s="1607"/>
      <c r="M55" s="2202"/>
      <c r="N55" s="2202"/>
      <c r="O55" s="1862"/>
      <c r="P55" s="1543"/>
      <c r="Q55" s="1544"/>
      <c r="R55" s="1543"/>
      <c r="S55" s="1549"/>
      <c r="T55" s="1552" t="s">
        <v>229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3222" customFormat="1" customHeight="1" ht="1.05">
      <c r="A56" s="1494" t="s">
        <v>210</v>
      </c>
      <c r="B56" s="1494"/>
      <c r="C56" s="1494"/>
      <c r="D56" s="1494"/>
      <c r="E56" s="2516"/>
      <c r="F56" s="1494"/>
      <c r="G56" s="1494"/>
      <c r="H56" s="1494"/>
      <c r="I56" s="1494"/>
      <c r="J56" s="1494"/>
      <c r="K56" s="1494"/>
      <c r="L56" s="1537"/>
      <c r="M56" s="2202"/>
      <c r="N56" s="2202"/>
      <c r="O56" s="1862"/>
      <c r="P56" s="607"/>
      <c r="Q56" s="1571"/>
      <c r="R56" s="607"/>
      <c r="S56" s="1549"/>
      <c r="T56" s="1552" t="s">
        <v>230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3222"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231</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851DC-3BA5-00BA-C434-EEC2FED6E3C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2.00390625" hidden="1" customWidth="1"/>
    <col min="10" max="10" style="13221" width="9.8515625" hidden="1" customWidth="1"/>
    <col min="11" max="11" style="13221" width="11.421875" hidden="1" customWidth="1"/>
    <col min="12" max="12" style="14071" width="19.140625" hidden="1" customWidth="1"/>
    <col min="13" max="14" style="14072" width="12.28125" hidden="1" customWidth="1"/>
    <col min="15" max="15" style="14072" width="23.421875" hidden="1" customWidth="1"/>
    <col min="16" max="16" style="14073" width="3.00390625" customWidth="1"/>
    <col min="17" max="18" style="14074" width="3.00390625" customWidth="1"/>
    <col min="19" max="19" style="14075" width="12.00390625" customWidth="1"/>
    <col min="20" max="20" style="13141" width="31.00390625" customWidth="1"/>
    <col min="21" max="21" style="13141" width="0.7109375" hidden="1" customWidth="1"/>
    <col min="22" max="22" style="13141" width="1.7109375" hidden="1" customWidth="1"/>
    <col min="23" max="23" style="13141" width="24.7109375" hidden="1" customWidth="1"/>
    <col min="24" max="25" style="13141" width="0.140625" hidden="1" customWidth="1"/>
    <col min="26" max="26" style="13141" width="11.7109375" hidden="1" customWidth="1"/>
    <col min="27" max="27" style="13141" width="3.7109375" hidden="1" customWidth="1"/>
    <col min="28" max="28" style="13141" width="11.7109375" hidden="1" customWidth="1"/>
    <col min="29" max="29" style="13141" width="8.57421875" hidden="1" customWidth="1"/>
    <col min="30" max="30" style="13141" width="0.140625" customWidth="1"/>
    <col min="31" max="31" style="13141" width="24.00390625" customWidth="1"/>
    <col min="32" max="33" style="13141" width="0.140625" customWidth="1"/>
    <col min="34" max="34" style="13141" width="11.00390625" customWidth="1"/>
    <col min="35" max="35" style="13141" width="3.7109375" customWidth="1"/>
    <col min="36" max="36" style="13141" width="11.00390625" customWidth="1"/>
    <col min="37" max="37" style="13141" width="8.57421875" hidden="1" customWidth="1"/>
    <col min="38" max="38" style="13141" width="4.00390625" customWidth="1"/>
    <col min="39" max="39" style="13141" width="115.00390625" customWidth="1"/>
    <col min="40" max="44" style="13222" width="10.00390625" customWidth="1"/>
    <col min="45" max="45" style="1314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322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22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229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22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3221"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3221" customFormat="1" customHeight="1" ht="14.25" hidden="1">
      <c r="L21" s="1556"/>
      <c r="M21" s="1589"/>
      <c r="N21" s="1589"/>
      <c r="O21" s="1589"/>
      <c r="P21" s="1589"/>
      <c r="Q21" s="1598"/>
      <c r="R21" s="1598"/>
      <c r="S21" s="956"/>
      <c r="AC21" s="1593"/>
      <c r="AK21" s="1593"/>
      <c r="AN21" s="738"/>
      <c r="AO21" s="738"/>
      <c r="AP21" s="738"/>
      <c r="AQ21" s="738"/>
      <c r="AR21" s="738"/>
      <c r="AS21" s="1387">
        <v>0</v>
      </c>
    </row>
    <row s="13221"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МУП "Уссурийск-Водоканал"</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34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3348"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27-2085</v>
      </c>
      <c r="W31" s="2478"/>
      <c r="X31" s="2478"/>
      <c r="Y31" s="2478"/>
      <c r="Z31" s="2478"/>
      <c r="AA31" s="2478"/>
      <c r="AB31" s="2478"/>
      <c r="AC31" s="553"/>
      <c r="AD31" s="2478" t="str">
        <f>IF(TITLE_NUMBER_PR_CHANGE="",IF(TITLE_NUMBER_PR="","",TITLE_NUMBER_PR),TITLE_NUMBER_PR_CHANGE)</f>
        <v>27-2085</v>
      </c>
      <c r="AE31" s="2478"/>
      <c r="AF31" s="2478"/>
      <c r="AG31" s="2478"/>
      <c r="AH31" s="2478"/>
      <c r="AI31" s="2478"/>
      <c r="AJ31" s="2478"/>
      <c r="AK31" s="553"/>
      <c r="AL31" s="553"/>
      <c r="AM31" s="507"/>
      <c r="AN31" s="595"/>
      <c r="AO31" s="595"/>
      <c r="AP31" s="595"/>
      <c r="AQ31" s="595"/>
      <c r="AR31" s="595"/>
      <c r="AS31" s="645">
        <v>0</v>
      </c>
    </row>
    <row s="1334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348"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3348"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27-2085</v>
      </c>
      <c r="W35" s="2478"/>
      <c r="X35" s="2478"/>
      <c r="Y35" s="2478"/>
      <c r="Z35" s="2478"/>
      <c r="AA35" s="2478"/>
      <c r="AB35" s="2478"/>
      <c r="AC35" s="553"/>
      <c r="AD35" s="2478" t="str">
        <f>IF(TITLE_NUMBER_PR_CHANGE="",IF(TITLE_NUMBER_PR="","",TITLE_NUMBER_PR),TITLE_NUMBER_PR_CHANGE)</f>
        <v>27-2085</v>
      </c>
      <c r="AE35" s="2478"/>
      <c r="AF35" s="2478"/>
      <c r="AG35" s="2478"/>
      <c r="AH35" s="2478"/>
      <c r="AI35" s="2478"/>
      <c r="AJ35" s="2478"/>
      <c r="AK35" s="553"/>
      <c r="AL35" s="553"/>
      <c r="AM35" s="507"/>
      <c r="AN35" s="595"/>
      <c r="AO35" s="595"/>
      <c r="AP35" s="595"/>
      <c r="AQ35" s="595"/>
      <c r="AR35" s="595"/>
      <c r="AS35" s="645">
        <v>0</v>
      </c>
    </row>
    <row s="1334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3400" customFormat="1" customHeight="1" ht="24">
      <c r="A41" s="1597"/>
      <c r="B41" s="1597" t="s">
        <v>135</v>
      </c>
      <c r="C41" s="1597" t="s">
        <v>136</v>
      </c>
      <c r="D41" s="1597" t="s">
        <v>137</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382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3222"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3222"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229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3222"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230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322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70A5A-F6FD-863E-95F4-B6812A95A39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2.00390625" hidden="1" customWidth="1"/>
    <col min="10" max="10" style="13221" width="9.8515625" hidden="1" customWidth="1"/>
    <col min="11" max="11" style="13221" width="11.421875" hidden="1" customWidth="1"/>
    <col min="12" max="12" style="14071" width="19.140625" hidden="1" customWidth="1"/>
    <col min="13" max="14" style="14072" width="12.28125" hidden="1" customWidth="1"/>
    <col min="15" max="15" style="14072" width="23.421875" hidden="1" customWidth="1"/>
    <col min="16" max="16" style="14073" width="3.7109375" hidden="1" customWidth="1"/>
    <col min="17" max="18" style="14074" width="3.00390625" customWidth="1"/>
    <col min="19" max="19" style="14075" width="12.00390625" customWidth="1"/>
    <col min="20" max="20" style="13141" width="31.00390625" customWidth="1"/>
    <col min="21" max="21" style="13141" width="0.140625" customWidth="1"/>
    <col min="22" max="22" style="13141" width="24.7109375" hidden="1" customWidth="1"/>
    <col min="23" max="23" style="13141" width="0.140625" hidden="1" customWidth="1"/>
    <col min="24" max="25" style="13141" width="24.7109375" hidden="1" customWidth="1"/>
    <col min="26" max="26" style="13141" width="11.7109375" hidden="1" customWidth="1"/>
    <col min="27" max="27" style="13141" width="3.7109375" hidden="1" customWidth="1"/>
    <col min="28" max="28" style="13141" width="11.7109375" hidden="1" customWidth="1"/>
    <col min="29" max="29" style="13141" width="8.57421875" hidden="1" customWidth="1"/>
    <col min="30" max="30" style="13141" width="24.7109375" customWidth="1"/>
    <col min="31" max="31" style="13141" width="0.140625" customWidth="1"/>
    <col min="32" max="33" style="13141" width="24.00390625" customWidth="1"/>
    <col min="34" max="34" style="13141" width="11.00390625" customWidth="1"/>
    <col min="35" max="35" style="13141" width="3.7109375" customWidth="1"/>
    <col min="36" max="36" style="13141" width="11.00390625" customWidth="1"/>
    <col min="37" max="37" style="13141" width="8.57421875" hidden="1" customWidth="1"/>
    <col min="38" max="38" style="13141" width="4.00390625" customWidth="1"/>
    <col min="39" max="39" style="13141" width="115.00390625" customWidth="1"/>
    <col min="40" max="44" style="13222" width="10.00390625" customWidth="1"/>
    <col min="45" max="45" style="13141"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322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22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229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22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3221"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3221" customFormat="1" customHeight="1" ht="14.25" hidden="1">
      <c r="L21" s="1556"/>
      <c r="M21" s="1589"/>
      <c r="N21" s="1589"/>
      <c r="O21" s="1589"/>
      <c r="P21" s="1589"/>
      <c r="Q21" s="1598"/>
      <c r="R21" s="1598"/>
      <c r="S21" s="956"/>
      <c r="AC21" s="1593"/>
      <c r="AK21" s="1593"/>
      <c r="AN21" s="738"/>
      <c r="AO21" s="738"/>
      <c r="AP21" s="738"/>
      <c r="AQ21" s="738"/>
      <c r="AR21" s="738"/>
      <c r="AS21" s="1387">
        <v>0</v>
      </c>
    </row>
    <row s="13221"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МУП "Уссурийск-Водоканал"</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34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3348"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27-2085</v>
      </c>
      <c r="W31" s="2478"/>
      <c r="X31" s="2478"/>
      <c r="Y31" s="2478"/>
      <c r="Z31" s="2478"/>
      <c r="AA31" s="2478"/>
      <c r="AB31" s="2478"/>
      <c r="AC31" s="553"/>
      <c r="AD31" s="2478" t="str">
        <f>IF(TITLE_NUMBER_PR_CHANGE="",IF(TITLE_NUMBER_PR="","",TITLE_NUMBER_PR),TITLE_NUMBER_PR_CHANGE)</f>
        <v>27-2085</v>
      </c>
      <c r="AE31" s="2478"/>
      <c r="AF31" s="2478"/>
      <c r="AG31" s="2478"/>
      <c r="AH31" s="2478"/>
      <c r="AI31" s="2478"/>
      <c r="AJ31" s="2478"/>
      <c r="AK31" s="553"/>
      <c r="AL31" s="553"/>
      <c r="AM31" s="507"/>
      <c r="AN31" s="595"/>
      <c r="AO31" s="595"/>
      <c r="AP31" s="595"/>
      <c r="AQ31" s="595"/>
      <c r="AR31" s="595"/>
      <c r="AS31" s="645">
        <v>0</v>
      </c>
    </row>
    <row s="1334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348"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3348"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27-2085</v>
      </c>
      <c r="W35" s="2478"/>
      <c r="X35" s="2478"/>
      <c r="Y35" s="2478"/>
      <c r="Z35" s="2478"/>
      <c r="AA35" s="2478"/>
      <c r="AB35" s="2478"/>
      <c r="AC35" s="553"/>
      <c r="AD35" s="2478" t="str">
        <f>IF(TITLE_NUMBER_PR_CHANGE="",IF(TITLE_NUMBER_PR="","",TITLE_NUMBER_PR),TITLE_NUMBER_PR_CHANGE)</f>
        <v>27-2085</v>
      </c>
      <c r="AE35" s="2478"/>
      <c r="AF35" s="2478"/>
      <c r="AG35" s="2478"/>
      <c r="AH35" s="2478"/>
      <c r="AI35" s="2478"/>
      <c r="AJ35" s="2478"/>
      <c r="AK35" s="553"/>
      <c r="AL35" s="553"/>
      <c r="AM35" s="507"/>
      <c r="AN35" s="595"/>
      <c r="AO35" s="595"/>
      <c r="AP35" s="595"/>
      <c r="AQ35" s="595"/>
      <c r="AR35" s="595"/>
      <c r="AS35" s="645">
        <v>0</v>
      </c>
    </row>
    <row s="1334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135</v>
      </c>
      <c r="C41" s="1597" t="s">
        <v>136</v>
      </c>
      <c r="D41" s="1597" t="s">
        <v>137</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382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3222" customFormat="1" customHeight="1" ht="0">
      <c r="A47" s="1570" t="s">
        <v>168</v>
      </c>
      <c r="B47" s="1570" t="s">
        <v>169</v>
      </c>
      <c r="C47" s="1570" t="s">
        <v>170</v>
      </c>
      <c r="D47" s="1570" t="s">
        <v>171</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453</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3222"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3222"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229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3222"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230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322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0A176-9744-78F3-73ED-C199DC74827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2.00390625" hidden="1" customWidth="1"/>
    <col min="10" max="10" style="13221" width="9.8515625" hidden="1" customWidth="1"/>
    <col min="11" max="11" style="13221" width="11.421875" hidden="1" customWidth="1"/>
    <col min="12" max="12" style="14071" width="19.140625" hidden="1" customWidth="1"/>
    <col min="13" max="14" style="14072" width="12.28125" hidden="1" customWidth="1"/>
    <col min="15" max="15" style="14072" width="23.421875" hidden="1" customWidth="1"/>
    <col min="16" max="16" style="14073" width="3.7109375" hidden="1" customWidth="1"/>
    <col min="17" max="18" style="14074" width="3.00390625" customWidth="1"/>
    <col min="19" max="19" style="14075" width="12.00390625" customWidth="1"/>
    <col min="20" max="20" style="13141" width="31.00390625" customWidth="1"/>
    <col min="21" max="21" style="13141" width="0.140625" customWidth="1"/>
    <col min="22" max="22" style="13141" width="24.7109375" hidden="1" customWidth="1"/>
    <col min="23" max="23" style="13141" width="0.140625" hidden="1" customWidth="1"/>
    <col min="24" max="25" style="13141" width="24.7109375" hidden="1" customWidth="1"/>
    <col min="26" max="26" style="13141" width="11.7109375" hidden="1" customWidth="1"/>
    <col min="27" max="27" style="13141" width="3.7109375" hidden="1" customWidth="1"/>
    <col min="28" max="28" style="13141" width="11.7109375" hidden="1" customWidth="1"/>
    <col min="29" max="29" style="13141" width="8.57421875" hidden="1" customWidth="1"/>
    <col min="30" max="30" style="13141" width="24.7109375" customWidth="1"/>
    <col min="31" max="31" style="13141" width="0.140625" customWidth="1"/>
    <col min="32" max="33" style="13141" width="24.00390625" customWidth="1"/>
    <col min="34" max="34" style="13141" width="11.00390625" customWidth="1"/>
    <col min="35" max="35" style="13141" width="3.7109375" customWidth="1"/>
    <col min="36" max="36" style="13141" width="11.00390625" customWidth="1"/>
    <col min="37" max="37" style="13141" width="8.57421875" hidden="1" customWidth="1"/>
    <col min="38" max="38" style="13141" width="4.00390625" customWidth="1"/>
    <col min="39" max="39" style="13141" width="115.00390625" customWidth="1"/>
    <col min="40" max="44" style="13222" width="10.00390625" customWidth="1"/>
    <col min="45" max="45" style="13141"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322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22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229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22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3221"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3221" customFormat="1" customHeight="1" ht="14.25" hidden="1">
      <c r="L21" s="1556"/>
      <c r="M21" s="1589"/>
      <c r="N21" s="1589"/>
      <c r="O21" s="1589"/>
      <c r="P21" s="1589"/>
      <c r="Q21" s="1598"/>
      <c r="R21" s="1598"/>
      <c r="S21" s="956"/>
      <c r="AC21" s="1593"/>
      <c r="AK21" s="1593"/>
      <c r="AN21" s="738"/>
      <c r="AO21" s="738"/>
      <c r="AP21" s="738"/>
      <c r="AQ21" s="738"/>
      <c r="AR21" s="738"/>
      <c r="AS21" s="1387">
        <v>0</v>
      </c>
    </row>
    <row s="13221"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МУП "Уссурийск-Водоканал"</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34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3348"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27-2085</v>
      </c>
      <c r="W31" s="2478"/>
      <c r="X31" s="2478"/>
      <c r="Y31" s="2478"/>
      <c r="Z31" s="2478"/>
      <c r="AA31" s="2478"/>
      <c r="AB31" s="2478"/>
      <c r="AC31" s="553"/>
      <c r="AD31" s="2478" t="str">
        <f>IF(TITLE_NUMBER_PR_CHANGE="",IF(TITLE_NUMBER_PR="","",TITLE_NUMBER_PR),TITLE_NUMBER_PR_CHANGE)</f>
        <v>27-2085</v>
      </c>
      <c r="AE31" s="2478"/>
      <c r="AF31" s="2478"/>
      <c r="AG31" s="2478"/>
      <c r="AH31" s="2478"/>
      <c r="AI31" s="2478"/>
      <c r="AJ31" s="2478"/>
      <c r="AK31" s="553"/>
      <c r="AL31" s="553"/>
      <c r="AM31" s="507"/>
      <c r="AN31" s="595"/>
      <c r="AO31" s="595"/>
      <c r="AP31" s="595"/>
      <c r="AQ31" s="595"/>
      <c r="AR31" s="595"/>
      <c r="AS31" s="645">
        <v>0</v>
      </c>
    </row>
    <row s="1334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348"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3348"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27-2085</v>
      </c>
      <c r="W35" s="2478"/>
      <c r="X35" s="2478"/>
      <c r="Y35" s="2478"/>
      <c r="Z35" s="2478"/>
      <c r="AA35" s="2478"/>
      <c r="AB35" s="2478"/>
      <c r="AC35" s="553"/>
      <c r="AD35" s="2478" t="str">
        <f>IF(TITLE_NUMBER_PR_CHANGE="",IF(TITLE_NUMBER_PR="","",TITLE_NUMBER_PR),TITLE_NUMBER_PR_CHANGE)</f>
        <v>27-2085</v>
      </c>
      <c r="AE35" s="2478"/>
      <c r="AF35" s="2478"/>
      <c r="AG35" s="2478"/>
      <c r="AH35" s="2478"/>
      <c r="AI35" s="2478"/>
      <c r="AJ35" s="2478"/>
      <c r="AK35" s="553"/>
      <c r="AL35" s="553"/>
      <c r="AM35" s="507"/>
      <c r="AN35" s="595"/>
      <c r="AO35" s="595"/>
      <c r="AP35" s="595"/>
      <c r="AQ35" s="595"/>
      <c r="AR35" s="595"/>
      <c r="AS35" s="645">
        <v>0</v>
      </c>
    </row>
    <row s="1334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135</v>
      </c>
      <c r="C41" s="1597" t="s">
        <v>136</v>
      </c>
      <c r="D41" s="1597" t="s">
        <v>137</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382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3222" customFormat="1" customHeight="1" ht="0">
      <c r="A47" s="1570" t="s">
        <v>180</v>
      </c>
      <c r="B47" s="1570" t="s">
        <v>181</v>
      </c>
      <c r="C47" s="1570" t="s">
        <v>182</v>
      </c>
      <c r="D47" s="1570" t="s">
        <v>183</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453</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3222"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3222"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229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3222"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230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322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37533-80E7-D38F-4D1C-4DCD3A93D35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2.00390625" hidden="1" customWidth="1"/>
    <col min="10" max="10" style="13221" width="9.8515625" hidden="1" customWidth="1"/>
    <col min="11" max="11" style="13221" width="11.421875" hidden="1" customWidth="1"/>
    <col min="12" max="12" style="14071" width="19.140625" hidden="1" customWidth="1"/>
    <col min="13" max="14" style="14072" width="12.28125" hidden="1" customWidth="1"/>
    <col min="15" max="15" style="14072" width="23.421875" hidden="1" customWidth="1"/>
    <col min="16" max="16" style="14073" width="3.7109375" hidden="1" customWidth="1"/>
    <col min="17" max="18" style="14074" width="3.00390625" customWidth="1"/>
    <col min="19" max="19" style="14075" width="12.00390625" customWidth="1"/>
    <col min="20" max="20" style="13141" width="31.00390625" customWidth="1"/>
    <col min="21" max="21" style="13141" width="0.140625" customWidth="1"/>
    <col min="22" max="22" style="13141" width="24.7109375" hidden="1" customWidth="1"/>
    <col min="23" max="23" style="13141" width="0.140625" hidden="1" customWidth="1"/>
    <col min="24" max="25" style="13141" width="24.7109375" hidden="1" customWidth="1"/>
    <col min="26" max="26" style="13141" width="11.7109375" hidden="1" customWidth="1"/>
    <col min="27" max="27" style="13141" width="3.7109375" hidden="1" customWidth="1"/>
    <col min="28" max="28" style="13141" width="11.7109375" hidden="1" customWidth="1"/>
    <col min="29" max="29" style="13141" width="8.57421875" hidden="1" customWidth="1"/>
    <col min="30" max="30" style="13141" width="24.7109375" customWidth="1"/>
    <col min="31" max="31" style="13141" width="0.140625" customWidth="1"/>
    <col min="32" max="33" style="13141" width="24.00390625" customWidth="1"/>
    <col min="34" max="34" style="13141" width="11.00390625" customWidth="1"/>
    <col min="35" max="35" style="13141" width="3.7109375" customWidth="1"/>
    <col min="36" max="36" style="13141" width="11.00390625" customWidth="1"/>
    <col min="37" max="37" style="13141" width="8.57421875" hidden="1" customWidth="1"/>
    <col min="38" max="38" style="13141" width="4.00390625" customWidth="1"/>
    <col min="39" max="39" style="13141" width="115.00390625" customWidth="1"/>
    <col min="40" max="44" style="13222" width="10.00390625" customWidth="1"/>
    <col min="45" max="45" style="1314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3222"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222"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229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222"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230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3221"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3221" customFormat="1" customHeight="1" ht="14.25" hidden="1">
      <c r="L21" s="1556"/>
      <c r="M21" s="1589"/>
      <c r="N21" s="1589"/>
      <c r="O21" s="1589"/>
      <c r="P21" s="1589"/>
      <c r="Q21" s="1598"/>
      <c r="R21" s="1598"/>
      <c r="S21" s="956"/>
      <c r="AC21" s="1593"/>
      <c r="AK21" s="1593"/>
      <c r="AN21" s="738"/>
      <c r="AO21" s="738"/>
      <c r="AP21" s="738"/>
      <c r="AQ21" s="738"/>
      <c r="AR21" s="738"/>
      <c r="AS21" s="1387">
        <v>0</v>
      </c>
    </row>
    <row s="13221"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МУП "Уссурийск-Водоканал"</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34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45408</v>
      </c>
      <c r="W30" s="2491"/>
      <c r="X30" s="2491"/>
      <c r="Y30" s="2491"/>
      <c r="Z30" s="2491"/>
      <c r="AA30" s="2491"/>
      <c r="AB30" s="2491"/>
      <c r="AC30" s="553"/>
      <c r="AD30" s="2491" t="str">
        <f>IF(TITLE_DATE_PR_CHANGE="",IF(TITLE_DATE_PR="","",TITLE_DATE_PR),TITLE_DATE_PR_CHANGE)</f>
        <v>45408</v>
      </c>
      <c r="AE30" s="2491"/>
      <c r="AF30" s="2491"/>
      <c r="AG30" s="2491"/>
      <c r="AH30" s="2491"/>
      <c r="AI30" s="2491"/>
      <c r="AJ30" s="2491"/>
      <c r="AK30" s="553"/>
      <c r="AL30" s="553"/>
      <c r="AM30" s="507"/>
      <c r="AN30" s="595"/>
      <c r="AO30" s="595"/>
      <c r="AP30" s="595"/>
      <c r="AQ30" s="595"/>
      <c r="AR30" s="595"/>
      <c r="AS30" s="645">
        <v>0</v>
      </c>
    </row>
    <row s="13348"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27-2085</v>
      </c>
      <c r="W31" s="2478"/>
      <c r="X31" s="2478"/>
      <c r="Y31" s="2478"/>
      <c r="Z31" s="2478"/>
      <c r="AA31" s="2478"/>
      <c r="AB31" s="2478"/>
      <c r="AC31" s="553"/>
      <c r="AD31" s="2478" t="str">
        <f>IF(TITLE_NUMBER_PR_CHANGE="",IF(TITLE_NUMBER_PR="","",TITLE_NUMBER_PR),TITLE_NUMBER_PR_CHANGE)</f>
        <v>27-2085</v>
      </c>
      <c r="AE31" s="2478"/>
      <c r="AF31" s="2478"/>
      <c r="AG31" s="2478"/>
      <c r="AH31" s="2478"/>
      <c r="AI31" s="2478"/>
      <c r="AJ31" s="2478"/>
      <c r="AK31" s="553"/>
      <c r="AL31" s="553"/>
      <c r="AM31" s="507"/>
      <c r="AN31" s="595"/>
      <c r="AO31" s="595"/>
      <c r="AP31" s="595"/>
      <c r="AQ31" s="595"/>
      <c r="AR31" s="595"/>
      <c r="AS31" s="645">
        <v>0</v>
      </c>
    </row>
    <row s="1334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348"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45408</v>
      </c>
      <c r="W34" s="2491"/>
      <c r="X34" s="2491"/>
      <c r="Y34" s="2491"/>
      <c r="Z34" s="2491"/>
      <c r="AA34" s="2491"/>
      <c r="AB34" s="2491"/>
      <c r="AC34" s="553"/>
      <c r="AD34" s="2491" t="str">
        <f>IF(TITLE_DATE_PR_CHANGE="",IF(TITLE_DATE_PR="","",TITLE_DATE_PR),TITLE_DATE_PR_CHANGE)</f>
        <v>45408</v>
      </c>
      <c r="AE34" s="2491"/>
      <c r="AF34" s="2491"/>
      <c r="AG34" s="2491"/>
      <c r="AH34" s="2491"/>
      <c r="AI34" s="2491"/>
      <c r="AJ34" s="2491"/>
      <c r="AK34" s="553"/>
      <c r="AL34" s="553"/>
      <c r="AM34" s="507"/>
      <c r="AN34" s="595"/>
      <c r="AO34" s="595"/>
      <c r="AP34" s="595"/>
      <c r="AQ34" s="595"/>
      <c r="AR34" s="595"/>
      <c r="AS34" s="645">
        <v>0</v>
      </c>
    </row>
    <row s="13348" customFormat="1" customHeight="1" ht="25.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27-2085</v>
      </c>
      <c r="W35" s="2478"/>
      <c r="X35" s="2478"/>
      <c r="Y35" s="2478"/>
      <c r="Z35" s="2478"/>
      <c r="AA35" s="2478"/>
      <c r="AB35" s="2478"/>
      <c r="AC35" s="553"/>
      <c r="AD35" s="2478" t="str">
        <f>IF(TITLE_NUMBER_PR_CHANGE="",IF(TITLE_NUMBER_PR="","",TITLE_NUMBER_PR),TITLE_NUMBER_PR_CHANGE)</f>
        <v>27-2085</v>
      </c>
      <c r="AE35" s="2478"/>
      <c r="AF35" s="2478"/>
      <c r="AG35" s="2478"/>
      <c r="AH35" s="2478"/>
      <c r="AI35" s="2478"/>
      <c r="AJ35" s="2478"/>
      <c r="AK35" s="553"/>
      <c r="AL35" s="553"/>
      <c r="AM35" s="507"/>
      <c r="AN35" s="595"/>
      <c r="AO35" s="595"/>
      <c r="AP35" s="595"/>
      <c r="AQ35" s="595"/>
      <c r="AR35" s="595"/>
      <c r="AS35" s="645">
        <v>0</v>
      </c>
    </row>
    <row s="1334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135</v>
      </c>
      <c r="C41" s="1597" t="s">
        <v>136</v>
      </c>
      <c r="D41" s="1597" t="s">
        <v>137</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382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3222" customFormat="1" customHeight="1" ht="0">
      <c r="A47" s="1570" t="s">
        <v>186</v>
      </c>
      <c r="B47" s="1570" t="s">
        <v>187</v>
      </c>
      <c r="C47" s="1570" t="s">
        <v>188</v>
      </c>
      <c r="D47" s="1570" t="s">
        <v>189</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453</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3222"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3222"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229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3222"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230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3222"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231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6DE7D-001C-47F9-4878-E9D1163C145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141" width="10.57421875" hidden="1"/>
    <col min="2" max="2" style="13141" width="11.00390625" hidden="1" customWidth="1"/>
    <col min="3" max="3" style="13141" width="10.57421875" hidden="1"/>
    <col min="4" max="4" style="13141" width="11.8515625" hidden="1" customWidth="1"/>
    <col min="5" max="5" style="13141" width="10.00390625" hidden="1" customWidth="1"/>
    <col min="6" max="6" style="13141" width="8.7109375" hidden="1" customWidth="1"/>
    <col min="7" max="7" style="13141" width="7.57421875" hidden="1" customWidth="1"/>
    <col min="8" max="8" style="13141" width="11.421875" hidden="1" customWidth="1"/>
    <col min="9" max="9" style="13141" width="12.00390625" hidden="1" customWidth="1"/>
    <col min="10" max="10" style="13141" width="9.8515625" hidden="1" customWidth="1"/>
    <col min="11" max="12" style="13141" width="11.421875" hidden="1" customWidth="1"/>
    <col min="13" max="13" style="13219" width="19.140625" hidden="1" customWidth="1"/>
    <col min="14" max="15" style="14073" width="12.28125" hidden="1" customWidth="1"/>
    <col min="16" max="16" style="14073" width="23.421875" hidden="1" customWidth="1"/>
    <col min="17" max="17" style="14073" width="3.7109375" hidden="1" customWidth="1"/>
    <col min="18" max="20" style="14074" width="3.00390625" customWidth="1"/>
    <col min="21" max="21" style="14075" width="12.00390625" customWidth="1"/>
    <col min="22" max="22" style="13141" width="31.00390625" customWidth="1"/>
    <col min="23" max="23" style="13141" width="0.140625" customWidth="1"/>
    <col min="24" max="28" style="13141" width="21.7109375" hidden="1" customWidth="1"/>
    <col min="29" max="29" style="13141" width="11.7109375" hidden="1" customWidth="1"/>
    <col min="30" max="30" style="13141" width="3.7109375" hidden="1" customWidth="1"/>
    <col min="31" max="31" style="13141" width="11.7109375" hidden="1" customWidth="1"/>
    <col min="32" max="32" style="13141" width="8.57421875" hidden="1" customWidth="1"/>
    <col min="33" max="33" style="13141" width="21.7109375" customWidth="1"/>
    <col min="34" max="37" style="13141" width="21.00390625" customWidth="1"/>
    <col min="38" max="38" style="13141" width="11.00390625" customWidth="1"/>
    <col min="39" max="39" style="13141" width="3.7109375" customWidth="1"/>
    <col min="40" max="40" style="13141" width="11.00390625" customWidth="1"/>
    <col min="41" max="41" style="13141" width="8.57421875" hidden="1" customWidth="1"/>
    <col min="42" max="42" style="13141" width="4.00390625" customWidth="1"/>
    <col min="43" max="43" style="13141" width="115.00390625" customWidth="1"/>
    <col min="44" max="48" style="13222" width="10.00390625" customWidth="1"/>
    <col min="49" max="49" style="13141"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3222"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419</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3222"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229</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3222"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230</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3221"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3221"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3221"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МУП "Уссурийск-Водоканал"</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3348"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3348" customFormat="1" customHeight="1" ht="18.75" hidden="1">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45408</v>
      </c>
      <c r="Y34" s="2491"/>
      <c r="Z34" s="2491"/>
      <c r="AA34" s="2491"/>
      <c r="AB34" s="2491"/>
      <c r="AC34" s="2491"/>
      <c r="AD34" s="2491"/>
      <c r="AE34" s="2491"/>
      <c r="AF34" s="553"/>
      <c r="AG34" s="2491" t="str">
        <f>IF(TITLE_DATE_PR_CHANGE="",IF(TITLE_DATE_PR="","",TITLE_DATE_PR),TITLE_DATE_PR_CHANGE)</f>
        <v>45408</v>
      </c>
      <c r="AH34" s="2491"/>
      <c r="AI34" s="2491"/>
      <c r="AJ34" s="2491"/>
      <c r="AK34" s="2491"/>
      <c r="AL34" s="2491"/>
      <c r="AM34" s="2491"/>
      <c r="AN34" s="2491"/>
      <c r="AO34" s="553"/>
      <c r="AP34" s="553"/>
      <c r="AQ34" s="507"/>
      <c r="AR34" s="595"/>
      <c r="AS34" s="595"/>
      <c r="AT34" s="595"/>
      <c r="AU34" s="595"/>
      <c r="AV34" s="595"/>
      <c r="AW34" s="645">
        <v>0</v>
      </c>
    </row>
    <row s="13348" customFormat="1" customHeight="1" ht="18.75" hidden="1">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27-2085</v>
      </c>
      <c r="Y35" s="2478"/>
      <c r="Z35" s="2478"/>
      <c r="AA35" s="2478"/>
      <c r="AB35" s="2478"/>
      <c r="AC35" s="2478"/>
      <c r="AD35" s="2478"/>
      <c r="AE35" s="2478"/>
      <c r="AF35" s="553"/>
      <c r="AG35" s="2478" t="str">
        <f>IF(TITLE_NUMBER_PR_CHANGE="",IF(TITLE_NUMBER_PR="","",TITLE_NUMBER_PR),TITLE_NUMBER_PR_CHANGE)</f>
        <v>27-2085</v>
      </c>
      <c r="AH35" s="2478"/>
      <c r="AI35" s="2478"/>
      <c r="AJ35" s="2478"/>
      <c r="AK35" s="2478"/>
      <c r="AL35" s="2478"/>
      <c r="AM35" s="2478"/>
      <c r="AN35" s="2478"/>
      <c r="AO35" s="553"/>
      <c r="AP35" s="553"/>
      <c r="AQ35" s="507"/>
      <c r="AR35" s="595"/>
      <c r="AS35" s="595"/>
      <c r="AT35" s="595"/>
      <c r="AU35" s="595"/>
      <c r="AV35" s="595"/>
      <c r="AW35" s="645">
        <v>0</v>
      </c>
    </row>
    <row s="13348"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3348" customFormat="1" customHeight="1" ht="18.75">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45408</v>
      </c>
      <c r="Y38" s="2491"/>
      <c r="Z38" s="2491"/>
      <c r="AA38" s="2491"/>
      <c r="AB38" s="2491"/>
      <c r="AC38" s="2491"/>
      <c r="AD38" s="2491"/>
      <c r="AE38" s="2491"/>
      <c r="AF38" s="553"/>
      <c r="AG38" s="2491" t="str">
        <f>IF(TITLE_DATE_PR_CHANGE="",IF(TITLE_DATE_PR="","",TITLE_DATE_PR),TITLE_DATE_PR_CHANGE)</f>
        <v>45408</v>
      </c>
      <c r="AH38" s="2491"/>
      <c r="AI38" s="2491"/>
      <c r="AJ38" s="2491"/>
      <c r="AK38" s="2491"/>
      <c r="AL38" s="2491"/>
      <c r="AM38" s="2491"/>
      <c r="AN38" s="2491"/>
      <c r="AO38" s="553"/>
      <c r="AP38" s="553"/>
      <c r="AQ38" s="507"/>
      <c r="AR38" s="595"/>
      <c r="AS38" s="595"/>
      <c r="AT38" s="595"/>
      <c r="AU38" s="595"/>
      <c r="AV38" s="595"/>
      <c r="AW38" s="645">
        <v>0</v>
      </c>
    </row>
    <row s="13348" customFormat="1" customHeight="1" ht="18.75">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27-2085</v>
      </c>
      <c r="Y39" s="2478"/>
      <c r="Z39" s="2478"/>
      <c r="AA39" s="2478"/>
      <c r="AB39" s="2478"/>
      <c r="AC39" s="2478"/>
      <c r="AD39" s="2478"/>
      <c r="AE39" s="2478"/>
      <c r="AF39" s="553"/>
      <c r="AG39" s="2478" t="str">
        <f>IF(TITLE_NUMBER_PR_CHANGE="",IF(TITLE_NUMBER_PR="","",TITLE_NUMBER_PR),TITLE_NUMBER_PR_CHANGE)</f>
        <v>27-2085</v>
      </c>
      <c r="AH39" s="2478"/>
      <c r="AI39" s="2478"/>
      <c r="AJ39" s="2478"/>
      <c r="AK39" s="2478"/>
      <c r="AL39" s="2478"/>
      <c r="AM39" s="2478"/>
      <c r="AN39" s="2478"/>
      <c r="AO39" s="553"/>
      <c r="AP39" s="553"/>
      <c r="AQ39" s="507"/>
      <c r="AR39" s="595"/>
      <c r="AS39" s="595"/>
      <c r="AT39" s="595"/>
      <c r="AU39" s="595"/>
      <c r="AV39" s="595"/>
      <c r="AW39" s="645">
        <v>0</v>
      </c>
    </row>
    <row s="13348"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88</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457</v>
      </c>
      <c r="Y44" s="2539" t="s">
        <v>458</v>
      </c>
      <c r="Z44" s="2539"/>
      <c r="AA44" s="2539"/>
      <c r="AB44" s="2539"/>
      <c r="AC44" s="2521" t="s">
        <v>439</v>
      </c>
      <c r="AD44" s="2838"/>
      <c r="AE44" s="2541"/>
      <c r="AF44" s="2505"/>
      <c r="AG44" s="2521" t="s">
        <v>457</v>
      </c>
      <c r="AH44" s="2539" t="s">
        <v>458</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459</v>
      </c>
      <c r="Z45" s="2497" t="s">
        <v>460</v>
      </c>
      <c r="AA45" s="2547"/>
      <c r="AB45" s="2498"/>
      <c r="AC45" s="2522"/>
      <c r="AD45" s="2839"/>
      <c r="AE45" s="2543"/>
      <c r="AF45" s="2505"/>
      <c r="AG45" s="2552"/>
      <c r="AH45" s="2544" t="s">
        <v>459</v>
      </c>
      <c r="AI45" s="2497" t="s">
        <v>460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461</v>
      </c>
      <c r="AA46" s="2497" t="s">
        <v>462</v>
      </c>
      <c r="AB46" s="2498"/>
      <c r="AC46" s="2544" t="s">
        <v>449</v>
      </c>
      <c r="AD46" s="2548" t="s">
        <v>450</v>
      </c>
      <c r="AE46" s="2549"/>
      <c r="AF46" s="2505"/>
      <c r="AG46" s="2552"/>
      <c r="AH46" s="2545"/>
      <c r="AI46" s="2544" t="s">
        <v>461</v>
      </c>
      <c r="AJ46" s="2497" t="s">
        <v>462</v>
      </c>
      <c r="AK46" s="2498"/>
      <c r="AL46" s="2544" t="s">
        <v>449</v>
      </c>
      <c r="AM46" s="2548" t="s">
        <v>450</v>
      </c>
      <c r="AN46" s="2549"/>
      <c r="AO46" s="2505"/>
      <c r="AP46" s="2508"/>
      <c r="AQ46" s="2354"/>
      <c r="AW46" s="1382">
        <v>26</v>
      </c>
    </row>
    <row customHeight="1" ht="65.25">
      <c r="A47" s="1486"/>
      <c r="B47" s="1486" t="s">
        <v>135</v>
      </c>
      <c r="C47" s="1486" t="s">
        <v>136</v>
      </c>
      <c r="D47" s="1486" t="s">
        <v>137</v>
      </c>
      <c r="E47" s="1537" t="s">
        <v>440</v>
      </c>
      <c r="F47" s="1537" t="s">
        <v>441</v>
      </c>
      <c r="G47" s="1537" t="s">
        <v>442</v>
      </c>
      <c r="H47" s="1537" t="s">
        <v>443</v>
      </c>
      <c r="I47" s="1537" t="s">
        <v>444</v>
      </c>
      <c r="J47" s="1537" t="s">
        <v>445</v>
      </c>
      <c r="K47" s="1537" t="s">
        <v>446</v>
      </c>
      <c r="L47" s="1537" t="s">
        <v>463</v>
      </c>
      <c r="M47" s="1537" t="s">
        <v>421</v>
      </c>
      <c r="R47" s="603"/>
      <c r="S47" s="603"/>
      <c r="T47" s="603"/>
      <c r="U47" s="2500"/>
      <c r="V47" s="2436"/>
      <c r="W47" s="529"/>
      <c r="X47" s="2522"/>
      <c r="Y47" s="2546"/>
      <c r="Z47" s="2546"/>
      <c r="AA47" s="1449" t="s">
        <v>464</v>
      </c>
      <c r="AB47" s="1449" t="s">
        <v>465</v>
      </c>
      <c r="AC47" s="2546"/>
      <c r="AD47" s="2550"/>
      <c r="AE47" s="2551"/>
      <c r="AF47" s="2506"/>
      <c r="AG47" s="2522"/>
      <c r="AH47" s="2546"/>
      <c r="AI47" s="2546"/>
      <c r="AJ47" s="1449" t="s">
        <v>464</v>
      </c>
      <c r="AK47" s="1449" t="s">
        <v>465</v>
      </c>
      <c r="AL47" s="2546"/>
      <c r="AM47" s="2550"/>
      <c r="AN47" s="2551"/>
      <c r="AO47" s="2506"/>
      <c r="AP47" s="2509"/>
      <c r="AQ47" s="2354"/>
      <c r="AW47" s="1382">
        <v>62</v>
      </c>
    </row>
    <row s="13827"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3222" customFormat="1" customHeight="1" ht="0">
      <c r="A53" s="1602" t="s">
        <v>174</v>
      </c>
      <c r="B53" s="1602" t="s">
        <v>175</v>
      </c>
      <c r="C53" s="1602" t="s">
        <v>176</v>
      </c>
      <c r="D53" s="1602" t="s">
        <v>177</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454</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455</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3222"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419</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3222"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229</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3222"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230</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3222"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231</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B8B7A-5028-E19E-AD18-968DA6E1A99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2.00390625" hidden="1" customWidth="1"/>
    <col min="10" max="10" style="13221" width="9.8515625" hidden="1" customWidth="1"/>
    <col min="11" max="11" style="13221" width="11.421875" hidden="1" customWidth="1"/>
    <col min="12" max="12" style="14071" width="19.140625" hidden="1" customWidth="1"/>
    <col min="13" max="14" style="14072" width="12.28125" hidden="1" customWidth="1"/>
    <col min="15" max="15" style="14072" width="23.421875" hidden="1" customWidth="1"/>
    <col min="16" max="16" style="14072" width="3.00390625" customWidth="1"/>
    <col min="17" max="17" style="14258" width="3.00390625" customWidth="1"/>
    <col min="18" max="18" style="14074" width="3.00390625" customWidth="1"/>
    <col min="19" max="19" style="14075" width="12.00390625" customWidth="1"/>
    <col min="20" max="20" style="13141" width="31.00390625" customWidth="1"/>
    <col min="21" max="21" style="13141" width="0.140625" customWidth="1"/>
    <col min="22" max="23" style="13141" width="21.7109375" hidden="1" customWidth="1"/>
    <col min="24" max="24" style="13141" width="11.7109375" hidden="1" customWidth="1"/>
    <col min="25" max="25" style="13141" width="3.7109375" hidden="1" customWidth="1"/>
    <col min="26" max="26" style="13141" width="11.7109375" hidden="1" customWidth="1"/>
    <col min="27" max="27" style="13141" width="8.57421875" hidden="1" customWidth="1"/>
    <col min="28" max="28" style="13141" width="5.421875" customWidth="1"/>
    <col min="29" max="30" style="13141" width="3.00390625" customWidth="1"/>
    <col min="31" max="31" style="13141" width="24.00390625" customWidth="1"/>
    <col min="32" max="32" style="13141" width="3.7109375" customWidth="1"/>
    <col min="33" max="34" style="13141" width="3.00390625" customWidth="1"/>
    <col min="35" max="35" style="13141" width="24.00390625" customWidth="1"/>
    <col min="36" max="36" style="13141" width="3.7109375" customWidth="1"/>
    <col min="37" max="38" style="13141" width="3.00390625" customWidth="1"/>
    <col min="39" max="39" style="13141" width="18.00390625" customWidth="1"/>
    <col min="40" max="41" style="13141" width="21.00390625" customWidth="1"/>
    <col min="42" max="42" style="13141" width="11.00390625" customWidth="1"/>
    <col min="43" max="43" style="13141" width="3.7109375" customWidth="1"/>
    <col min="44" max="44" style="13141" width="11.00390625" customWidth="1"/>
    <col min="45" max="45" style="13141" width="8.57421875" hidden="1" customWidth="1"/>
    <col min="46" max="46" style="13141" width="4.00390625" customWidth="1"/>
    <col min="47" max="47" style="13141" width="115.00390625" customWidth="1"/>
    <col min="48" max="52" style="13222" width="10.00390625" customWidth="1"/>
    <col min="53" max="53" style="13141"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3222"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3222"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3222"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3222"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3222"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419</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3222"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229</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3222"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230</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4229" customFormat="1" customHeight="1" ht="14.25" hidden="1">
      <c r="M23" s="1735"/>
      <c r="N23" s="1735"/>
      <c r="O23" s="1736" t="s">
        <v>421</v>
      </c>
      <c r="P23" s="1735"/>
      <c r="Q23" s="1737"/>
      <c r="R23" s="1737"/>
      <c r="Y23" s="1734" t="s">
        <v>423</v>
      </c>
      <c r="AA23" s="1734" t="s">
        <v>424</v>
      </c>
      <c r="AB23" s="1734" t="s">
        <v>471</v>
      </c>
      <c r="AE23" s="1734" t="s">
        <v>472</v>
      </c>
      <c r="AF23" s="1734" t="s">
        <v>471</v>
      </c>
      <c r="AI23" s="1734" t="s">
        <v>473</v>
      </c>
      <c r="AJ23" s="1734" t="s">
        <v>471</v>
      </c>
      <c r="AM23" s="1734" t="s">
        <v>474</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МУП "Уссурийск-Водоканал"</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3348"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3348"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45408</v>
      </c>
      <c r="W31" s="2491"/>
      <c r="X31" s="2491"/>
      <c r="Y31" s="2491"/>
      <c r="Z31" s="2491"/>
      <c r="AA31" s="553"/>
      <c r="AB31" s="2491" t="str">
        <f>IF(TITLE_DATE_PR_CHANGE="",IF(TITLE_DATE_PR="","",TITLE_DATE_PR),TITLE_DATE_PR_CHANGE)</f>
        <v>45408</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334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27-2085</v>
      </c>
      <c r="W32" s="2478"/>
      <c r="X32" s="2478"/>
      <c r="Y32" s="2478"/>
      <c r="Z32" s="2478"/>
      <c r="AA32" s="553"/>
      <c r="AB32" s="2478" t="str">
        <f>IF(TITLE_NUMBER_PR_CHANGE="",IF(TITLE_NUMBER_PR="","",TITLE_NUMBER_PR),TITLE_NUMBER_PR_CHANGE)</f>
        <v>27-2085</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334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3348" customFormat="1" customHeight="1" ht="18.75">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45408</v>
      </c>
      <c r="W35" s="2491"/>
      <c r="X35" s="2491"/>
      <c r="Y35" s="2491"/>
      <c r="Z35" s="2491"/>
      <c r="AA35" s="553"/>
      <c r="AB35" s="2491" t="str">
        <f>IF(TITLE_DATE_PR_CHANGE="",IF(TITLE_DATE_PR="","",TITLE_DATE_PR),TITLE_DATE_PR_CHANGE)</f>
        <v>45408</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3348" customFormat="1" customHeight="1" ht="18">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27-2085</v>
      </c>
      <c r="W36" s="2478"/>
      <c r="X36" s="2478"/>
      <c r="Y36" s="2478"/>
      <c r="Z36" s="2478"/>
      <c r="AA36" s="553"/>
      <c r="AB36" s="2478" t="str">
        <f>IF(TITLE_NUMBER_PR_CHANGE="",IF(TITLE_NUMBER_PR="","",TITLE_NUMBER_PR),TITLE_NUMBER_PR_CHANGE)</f>
        <v>27-2085</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3348"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88</v>
      </c>
      <c r="T40" s="2436" t="s">
        <v>475</v>
      </c>
      <c r="U40" s="528"/>
      <c r="V40" s="2502"/>
      <c r="W40" s="2502"/>
      <c r="X40" s="2502"/>
      <c r="Y40" s="2502"/>
      <c r="Z40" s="2503"/>
      <c r="AA40" s="2563" t="s">
        <v>433</v>
      </c>
      <c r="AB40" s="2555" t="s">
        <v>476</v>
      </c>
      <c r="AC40" s="2518"/>
      <c r="AD40" s="2518"/>
      <c r="AE40" s="2556"/>
      <c r="AF40" s="2518" t="s">
        <v>477</v>
      </c>
      <c r="AG40" s="2518"/>
      <c r="AH40" s="2518"/>
      <c r="AI40" s="2556"/>
      <c r="AJ40" s="2555" t="s">
        <v>478</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479</v>
      </c>
      <c r="W41" s="2354"/>
      <c r="X41" s="2521" t="s">
        <v>439</v>
      </c>
      <c r="Y41" s="2540"/>
      <c r="Z41" s="2541"/>
      <c r="AA41" s="2564"/>
      <c r="AB41" s="2557"/>
      <c r="AC41" s="2558"/>
      <c r="AD41" s="2558"/>
      <c r="AE41" s="2559"/>
      <c r="AF41" s="2558"/>
      <c r="AG41" s="2558"/>
      <c r="AH41" s="2558"/>
      <c r="AI41" s="2559"/>
      <c r="AJ41" s="2557"/>
      <c r="AK41" s="2558"/>
      <c r="AL41" s="2558"/>
      <c r="AM41" s="2558"/>
      <c r="AN41" s="2354" t="s">
        <v>479</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440</v>
      </c>
      <c r="F43" s="1591" t="s">
        <v>441</v>
      </c>
      <c r="G43" s="1591" t="s">
        <v>442</v>
      </c>
      <c r="H43" s="1591" t="s">
        <v>443</v>
      </c>
      <c r="I43" s="1591" t="s">
        <v>444</v>
      </c>
      <c r="J43" s="1591" t="s">
        <v>445</v>
      </c>
      <c r="K43" s="1591" t="s">
        <v>446</v>
      </c>
      <c r="L43" s="1591" t="s">
        <v>421</v>
      </c>
      <c r="Q43" s="518"/>
      <c r="R43" s="603"/>
      <c r="S43" s="2500"/>
      <c r="T43" s="2436"/>
      <c r="U43" s="529"/>
      <c r="V43" s="1557" t="s">
        <v>480</v>
      </c>
      <c r="W43" s="1557" t="s">
        <v>481</v>
      </c>
      <c r="X43" s="1565" t="s">
        <v>449</v>
      </c>
      <c r="Y43" s="2497" t="s">
        <v>450</v>
      </c>
      <c r="Z43" s="2498"/>
      <c r="AA43" s="2565"/>
      <c r="AB43" s="2560"/>
      <c r="AC43" s="2561"/>
      <c r="AD43" s="2561"/>
      <c r="AE43" s="2562"/>
      <c r="AF43" s="2561"/>
      <c r="AG43" s="2561"/>
      <c r="AH43" s="2561"/>
      <c r="AI43" s="2562"/>
      <c r="AJ43" s="2560"/>
      <c r="AK43" s="2561"/>
      <c r="AL43" s="2561"/>
      <c r="AM43" s="2562"/>
      <c r="AN43" s="2087" t="s">
        <v>480</v>
      </c>
      <c r="AO43" s="2087" t="s">
        <v>481</v>
      </c>
      <c r="AP43" s="1565" t="s">
        <v>449</v>
      </c>
      <c r="AQ43" s="2497" t="s">
        <v>450</v>
      </c>
      <c r="AR43" s="2498"/>
      <c r="AS43" s="2506"/>
      <c r="AT43" s="2509"/>
      <c r="AU43" s="2354"/>
      <c r="BA43" s="1382">
        <v>14</v>
      </c>
    </row>
    <row s="13827"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3222" customFormat="1" customHeight="1" ht="1.05">
      <c r="A49" s="1570" t="s">
        <v>198</v>
      </c>
      <c r="B49" s="1570" t="s">
        <v>199</v>
      </c>
      <c r="C49" s="1570" t="s">
        <v>200</v>
      </c>
      <c r="D49" s="1570" t="s">
        <v>201</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3222"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482</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467</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470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3222"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3827"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3222"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419</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3222"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229</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3222"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230</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3222"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230</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3222"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231</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3D599-8A32-7E0D-2A82-147D72085856}" mc:Ignorable="x14ac xr xr2 xr3">
  <sheetPr>
    <tabColor theme="6" tint="0.4"/>
  </sheetPr>
  <dimension ref="A1:CG62"/>
  <sheetViews>
    <sheetView topLeftCell="A1" showGridLines="0" zoomScale="79" workbookViewId="0">
      <selection activeCell="AC49" sqref="AC49:BZ49"/>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4.140625" hidden="1" customWidth="1"/>
    <col min="10" max="10" style="13221" width="9.8515625" hidden="1" customWidth="1"/>
    <col min="11" max="11" style="13221" width="14.7109375" hidden="1" customWidth="1"/>
    <col min="12" max="12" style="14071" width="19.140625" hidden="1" customWidth="1"/>
    <col min="13" max="14" style="14072" width="12.28125" hidden="1" customWidth="1"/>
    <col min="15" max="15" style="14072" width="23.421875" hidden="1" customWidth="1"/>
    <col min="16" max="16" style="14073" width="3.00390625" customWidth="1"/>
    <col min="17" max="18" style="14074" width="3.00390625" customWidth="1"/>
    <col min="19" max="19" style="14075" width="12.00390625" customWidth="1"/>
    <col min="20" max="20" style="13141" width="35.00390625" customWidth="1"/>
    <col min="21" max="21" style="13141" width="0.140625" customWidth="1"/>
    <col min="22" max="24" style="13141" width="24.7109375" hidden="1" customWidth="1"/>
    <col min="25" max="25" style="13141" width="11.7109375" hidden="1" customWidth="1"/>
    <col min="26" max="26" style="13141" width="3.7109375" hidden="1" customWidth="1"/>
    <col min="27" max="27" style="13141" width="11.7109375" hidden="1" customWidth="1"/>
    <col min="28" max="28" style="13141" width="8.57421875" hidden="1" customWidth="1"/>
    <col min="29" max="29" style="13141" width="24.7109375" customWidth="1"/>
    <col min="30" max="31" style="13141" width="24.00390625" customWidth="1"/>
    <col min="32" max="32" style="13141" width="11.00390625" customWidth="1"/>
    <col min="33" max="33" style="13141" width="3.7109375" customWidth="1"/>
    <col min="34" max="34" style="13141" width="11.00390625" customWidth="1"/>
    <col min="35" max="35" style="13141" width="8.57421875" customWidth="1"/>
    <col min="62" max="62" style="14670" width="13.28125" customWidth="1"/>
    <col min="69" max="69" style="14670" width="12.8515625" customWidth="1"/>
    <col min="77" max="77" style="14670" width="10.57421875" hidden="1"/>
    <col min="78" max="78" style="13141" width="4.00390625" customWidth="1"/>
    <col min="79" max="79" style="13141" width="115.00390625" customWidth="1"/>
    <col min="80" max="84" style="13222" width="10.00390625" customWidth="1"/>
    <col min="85" max="85" style="13141" width="10.57421875" hidden="1"/>
  </cols>
  <sheetData>
    <row customHeight="1" ht="22.5" hidden="1">
      <c r="X1" s="554"/>
      <c r="Y1" s="554"/>
      <c r="AE1" s="554"/>
      <c r="AF1" s="554"/>
      <c r="AJ1" s="4032"/>
      <c r="AK1" s="4032"/>
      <c r="AL1" s="4032"/>
      <c r="AM1" s="4032"/>
      <c r="AN1" s="4032"/>
      <c r="AO1" s="4032"/>
      <c r="AP1" s="4032"/>
      <c r="AQ1" s="4032"/>
      <c r="AR1" s="4032"/>
      <c r="AS1" s="4032"/>
      <c r="AT1" s="4032"/>
      <c r="AU1" s="4032"/>
      <c r="AV1" s="4032"/>
      <c r="AW1" s="4032"/>
      <c r="AX1" s="4032"/>
      <c r="AY1" s="4032"/>
      <c r="AZ1" s="4032"/>
      <c r="BA1" s="4032"/>
      <c r="BB1" s="4032"/>
      <c r="BC1" s="4032"/>
      <c r="BD1" s="4032"/>
      <c r="BE1" s="4032"/>
      <c r="BF1" s="4032"/>
      <c r="BG1" s="4032"/>
      <c r="BH1" s="4032"/>
      <c r="BI1" s="4032"/>
      <c r="BJ1" s="4032"/>
      <c r="BK1" s="4032"/>
      <c r="BL1" s="4032"/>
      <c r="BM1" s="4032"/>
      <c r="BN1" s="4032"/>
      <c r="BO1" s="4032"/>
      <c r="BP1" s="4032"/>
      <c r="BQ1" s="4032"/>
      <c r="BR1" s="4032"/>
      <c r="BS1" s="4032"/>
      <c r="BT1" s="4032"/>
      <c r="BU1" s="4032"/>
      <c r="BV1" s="4032"/>
      <c r="BW1" s="4032"/>
      <c r="BX1" s="4032"/>
      <c r="BY1" s="4032"/>
      <c r="CG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4034"/>
      <c r="AK2" s="4035"/>
      <c r="AL2" s="4035"/>
      <c r="AM2" s="4035"/>
      <c r="AN2" s="4035"/>
      <c r="AO2" s="4035"/>
      <c r="AP2" s="4036"/>
      <c r="AQ2" s="4034"/>
      <c r="AR2" s="4035"/>
      <c r="AS2" s="4035"/>
      <c r="AT2" s="4035"/>
      <c r="AU2" s="4035"/>
      <c r="AV2" s="4035"/>
      <c r="AW2" s="4036"/>
      <c r="AX2" s="4034"/>
      <c r="AY2" s="4035"/>
      <c r="AZ2" s="4035"/>
      <c r="BA2" s="4035"/>
      <c r="BB2" s="4035"/>
      <c r="BC2" s="4035"/>
      <c r="BD2" s="4036"/>
      <c r="BE2" s="4034"/>
      <c r="BF2" s="4035"/>
      <c r="BG2" s="4035"/>
      <c r="BH2" s="4035"/>
      <c r="BI2" s="4035"/>
      <c r="BJ2" s="4035"/>
      <c r="BK2" s="4036"/>
      <c r="BL2" s="4034"/>
      <c r="BM2" s="4035"/>
      <c r="BN2" s="4035"/>
      <c r="BO2" s="4035"/>
      <c r="BP2" s="4035"/>
      <c r="BQ2" s="4035"/>
      <c r="BR2" s="4036"/>
      <c r="BS2" s="4034"/>
      <c r="BT2" s="4035"/>
      <c r="BU2" s="4035"/>
      <c r="BV2" s="4035"/>
      <c r="BW2" s="4035"/>
      <c r="BX2" s="4035"/>
      <c r="BY2" s="4036"/>
      <c r="BZ2" s="2471"/>
      <c r="CA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C2" s="727"/>
      <c r="CD2" s="727" t="str">
        <f>IF(T2="","",T2)</f>
        <v>Наименование тарифа</v>
      </c>
      <c r="CE2" s="727"/>
      <c r="CF2" s="727"/>
      <c r="CG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4034"/>
      <c r="AK3" s="4035"/>
      <c r="AL3" s="4035"/>
      <c r="AM3" s="4035"/>
      <c r="AN3" s="4035"/>
      <c r="AO3" s="4035"/>
      <c r="AP3" s="4036"/>
      <c r="AQ3" s="4034"/>
      <c r="AR3" s="4035"/>
      <c r="AS3" s="4035"/>
      <c r="AT3" s="4035"/>
      <c r="AU3" s="4035"/>
      <c r="AV3" s="4035"/>
      <c r="AW3" s="4036"/>
      <c r="AX3" s="4034"/>
      <c r="AY3" s="4035"/>
      <c r="AZ3" s="4035"/>
      <c r="BA3" s="4035"/>
      <c r="BB3" s="4035"/>
      <c r="BC3" s="4035"/>
      <c r="BD3" s="4036"/>
      <c r="BE3" s="4034"/>
      <c r="BF3" s="4035"/>
      <c r="BG3" s="4035"/>
      <c r="BH3" s="4035"/>
      <c r="BI3" s="4035"/>
      <c r="BJ3" s="4035"/>
      <c r="BK3" s="4036"/>
      <c r="BL3" s="4034"/>
      <c r="BM3" s="4035"/>
      <c r="BN3" s="4035"/>
      <c r="BO3" s="4035"/>
      <c r="BP3" s="4035"/>
      <c r="BQ3" s="4035"/>
      <c r="BR3" s="4036"/>
      <c r="BS3" s="4034"/>
      <c r="BT3" s="4035"/>
      <c r="BU3" s="4035"/>
      <c r="BV3" s="4035"/>
      <c r="BW3" s="4035"/>
      <c r="BX3" s="4035"/>
      <c r="BY3" s="4036"/>
      <c r="BZ3" s="2471"/>
      <c r="CA3" s="1485" t="s">
        <v>403</v>
      </c>
      <c r="CC3" s="727"/>
      <c r="CD3" s="727" t="str">
        <f>IF(T3="","",T3)</f>
        <v>Территория действия тарифа</v>
      </c>
      <c r="CE3" s="727"/>
      <c r="CF3" s="727"/>
      <c r="CG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4034"/>
      <c r="AK4" s="4035"/>
      <c r="AL4" s="4035"/>
      <c r="AM4" s="4035"/>
      <c r="AN4" s="4035"/>
      <c r="AO4" s="4035"/>
      <c r="AP4" s="4036"/>
      <c r="AQ4" s="4034"/>
      <c r="AR4" s="4035"/>
      <c r="AS4" s="4035"/>
      <c r="AT4" s="4035"/>
      <c r="AU4" s="4035"/>
      <c r="AV4" s="4035"/>
      <c r="AW4" s="4036"/>
      <c r="AX4" s="4034"/>
      <c r="AY4" s="4035"/>
      <c r="AZ4" s="4035"/>
      <c r="BA4" s="4035"/>
      <c r="BB4" s="4035"/>
      <c r="BC4" s="4035"/>
      <c r="BD4" s="4036"/>
      <c r="BE4" s="4034"/>
      <c r="BF4" s="4035"/>
      <c r="BG4" s="4035"/>
      <c r="BH4" s="4035"/>
      <c r="BI4" s="4035"/>
      <c r="BJ4" s="4035"/>
      <c r="BK4" s="4036"/>
      <c r="BL4" s="4034"/>
      <c r="BM4" s="4035"/>
      <c r="BN4" s="4035"/>
      <c r="BO4" s="4035"/>
      <c r="BP4" s="4035"/>
      <c r="BQ4" s="4035"/>
      <c r="BR4" s="4036"/>
      <c r="BS4" s="4034"/>
      <c r="BT4" s="4035"/>
      <c r="BU4" s="4035"/>
      <c r="BV4" s="4035"/>
      <c r="BW4" s="4035"/>
      <c r="BX4" s="4035"/>
      <c r="BY4" s="4036"/>
      <c r="BZ4" s="2471"/>
      <c r="CA4" s="1485" t="s">
        <v>484</v>
      </c>
      <c r="CC4" s="727"/>
      <c r="CD4" s="727" t="str">
        <f>IF(T4="","",T4)</f>
        <v>Наименование централизованной системы холодного водоснабжения</v>
      </c>
      <c r="CE4" s="727"/>
      <c r="CF4" s="727"/>
      <c r="CG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4044"/>
      <c r="AK5" s="4045"/>
      <c r="AL5" s="4045"/>
      <c r="AM5" s="4045"/>
      <c r="AN5" s="4045"/>
      <c r="AO5" s="4045"/>
      <c r="AP5" s="4046"/>
      <c r="AQ5" s="4044"/>
      <c r="AR5" s="4045"/>
      <c r="AS5" s="4045"/>
      <c r="AT5" s="4045"/>
      <c r="AU5" s="4045"/>
      <c r="AV5" s="4045"/>
      <c r="AW5" s="4046"/>
      <c r="AX5" s="4044"/>
      <c r="AY5" s="4045"/>
      <c r="AZ5" s="4045"/>
      <c r="BA5" s="4045"/>
      <c r="BB5" s="4045"/>
      <c r="BC5" s="4045"/>
      <c r="BD5" s="4046"/>
      <c r="BE5" s="4044"/>
      <c r="BF5" s="4045"/>
      <c r="BG5" s="4045"/>
      <c r="BH5" s="4045"/>
      <c r="BI5" s="4045"/>
      <c r="BJ5" s="4045"/>
      <c r="BK5" s="4046"/>
      <c r="BL5" s="4044"/>
      <c r="BM5" s="4045"/>
      <c r="BN5" s="4045"/>
      <c r="BO5" s="4045"/>
      <c r="BP5" s="4045"/>
      <c r="BQ5" s="4045"/>
      <c r="BR5" s="4046"/>
      <c r="BS5" s="4044"/>
      <c r="BT5" s="4045"/>
      <c r="BU5" s="4045"/>
      <c r="BV5" s="4045"/>
      <c r="BW5" s="4045"/>
      <c r="BX5" s="4045"/>
      <c r="BY5" s="4046"/>
      <c r="BZ5" s="2582"/>
      <c r="CA5" s="1485" t="s">
        <v>486</v>
      </c>
      <c r="CC5" s="727"/>
      <c r="CD5" s="727" t="str">
        <f>IF(T5="","",T5)</f>
        <v>Наименование признака дифференциации</v>
      </c>
      <c r="CE5" s="727"/>
      <c r="CF5" s="727"/>
      <c r="CG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4048"/>
      <c r="AK6" s="4049"/>
      <c r="AL6" s="4049"/>
      <c r="AM6" s="4049"/>
      <c r="AN6" s="4049"/>
      <c r="AO6" s="4049"/>
      <c r="AP6" s="4050"/>
      <c r="AQ6" s="4048"/>
      <c r="AR6" s="4049"/>
      <c r="AS6" s="4049"/>
      <c r="AT6" s="4049"/>
      <c r="AU6" s="4049"/>
      <c r="AV6" s="4049"/>
      <c r="AW6" s="4050"/>
      <c r="AX6" s="4048"/>
      <c r="AY6" s="4049"/>
      <c r="AZ6" s="4049"/>
      <c r="BA6" s="4049"/>
      <c r="BB6" s="4049"/>
      <c r="BC6" s="4049"/>
      <c r="BD6" s="4050"/>
      <c r="BE6" s="4048"/>
      <c r="BF6" s="4049"/>
      <c r="BG6" s="4049"/>
      <c r="BH6" s="4049"/>
      <c r="BI6" s="4049"/>
      <c r="BJ6" s="4049"/>
      <c r="BK6" s="4050"/>
      <c r="BL6" s="4048"/>
      <c r="BM6" s="4049"/>
      <c r="BN6" s="4049"/>
      <c r="BO6" s="4049"/>
      <c r="BP6" s="4049"/>
      <c r="BQ6" s="4049"/>
      <c r="BR6" s="4050"/>
      <c r="BS6" s="4048"/>
      <c r="BT6" s="4049"/>
      <c r="BU6" s="4049"/>
      <c r="BV6" s="4049"/>
      <c r="BW6" s="4049"/>
      <c r="BX6" s="4049"/>
      <c r="BY6" s="4050"/>
      <c r="BZ6" s="2474"/>
      <c r="CA6" s="1534" t="s">
        <v>487</v>
      </c>
      <c r="CC6" s="727"/>
      <c r="CD6" s="727" t="str">
        <f>IF(T6="","",T6)</f>
        <v>Группа потребителей</v>
      </c>
      <c r="CE6" s="727"/>
      <c r="CF6" s="727"/>
      <c r="CG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4052"/>
      <c r="AK7" s="4052"/>
      <c r="AL7" s="4053"/>
      <c r="AM7" s="4054"/>
      <c r="AN7" s="4055" t="s">
        <v>66</v>
      </c>
      <c r="AO7" s="4054"/>
      <c r="AP7" s="4055" t="s">
        <v>66</v>
      </c>
      <c r="AQ7" s="4052"/>
      <c r="AR7" s="4052"/>
      <c r="AS7" s="4053"/>
      <c r="AT7" s="4054"/>
      <c r="AU7" s="4055" t="s">
        <v>66</v>
      </c>
      <c r="AV7" s="4054"/>
      <c r="AW7" s="4055" t="s">
        <v>66</v>
      </c>
      <c r="AX7" s="4052"/>
      <c r="AY7" s="4052"/>
      <c r="AZ7" s="4053"/>
      <c r="BA7" s="4054"/>
      <c r="BB7" s="4055" t="s">
        <v>66</v>
      </c>
      <c r="BC7" s="4054"/>
      <c r="BD7" s="4055" t="s">
        <v>66</v>
      </c>
      <c r="BE7" s="4052"/>
      <c r="BF7" s="4052"/>
      <c r="BG7" s="4053"/>
      <c r="BH7" s="4054"/>
      <c r="BI7" s="4055" t="s">
        <v>66</v>
      </c>
      <c r="BJ7" s="4054"/>
      <c r="BK7" s="4055" t="s">
        <v>66</v>
      </c>
      <c r="BL7" s="4052"/>
      <c r="BM7" s="4052"/>
      <c r="BN7" s="4053"/>
      <c r="BO7" s="4054"/>
      <c r="BP7" s="4055" t="s">
        <v>66</v>
      </c>
      <c r="BQ7" s="4054"/>
      <c r="BR7" s="4055" t="s">
        <v>66</v>
      </c>
      <c r="BS7" s="4052"/>
      <c r="BT7" s="4052"/>
      <c r="BU7" s="4053"/>
      <c r="BV7" s="4054"/>
      <c r="BW7" s="4055" t="s">
        <v>66</v>
      </c>
      <c r="BX7" s="4054"/>
      <c r="BY7" s="4055" t="s">
        <v>66</v>
      </c>
      <c r="BZ7" s="1665"/>
      <c r="CA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7" s="738">
        <f>STRCHECKDATE(V8:BZ8)</f>
      </c>
      <c r="CC7" s="727"/>
      <c r="CD7" s="727" t="str">
        <f>IF(T7="","",T7)</f>
        <v/>
      </c>
      <c r="CE7" s="727"/>
      <c r="CF7" s="727"/>
      <c r="CG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4059"/>
      <c r="AK8" s="4059"/>
      <c r="AL8" s="4060" t="str">
        <f>AM7&amp;"-"&amp;AO7</f>
        <v>-</v>
      </c>
      <c r="AM8" s="4061"/>
      <c r="AN8" s="4055"/>
      <c r="AO8" s="4061"/>
      <c r="AP8" s="4055"/>
      <c r="AQ8" s="4059"/>
      <c r="AR8" s="4059"/>
      <c r="AS8" s="4060" t="str">
        <f>AT7&amp;"-"&amp;AV7</f>
        <v>-</v>
      </c>
      <c r="AT8" s="4061"/>
      <c r="AU8" s="4055"/>
      <c r="AV8" s="4061"/>
      <c r="AW8" s="4055"/>
      <c r="AX8" s="4059"/>
      <c r="AY8" s="4059"/>
      <c r="AZ8" s="4060" t="str">
        <f>BA7&amp;"-"&amp;BC7</f>
        <v>-</v>
      </c>
      <c r="BA8" s="4061"/>
      <c r="BB8" s="4055"/>
      <c r="BC8" s="4061"/>
      <c r="BD8" s="4055"/>
      <c r="BE8" s="4059"/>
      <c r="BF8" s="4059"/>
      <c r="BG8" s="4060" t="str">
        <f>BH7&amp;"-"&amp;BJ7</f>
        <v>-</v>
      </c>
      <c r="BH8" s="4061"/>
      <c r="BI8" s="4055"/>
      <c r="BJ8" s="4061"/>
      <c r="BK8" s="4055"/>
      <c r="BL8" s="4059"/>
      <c r="BM8" s="4059"/>
      <c r="BN8" s="4060" t="str">
        <f>BO7&amp;"-"&amp;BQ7</f>
        <v>-</v>
      </c>
      <c r="BO8" s="4061"/>
      <c r="BP8" s="4055"/>
      <c r="BQ8" s="4061"/>
      <c r="BR8" s="4055"/>
      <c r="BS8" s="4059"/>
      <c r="BT8" s="4059"/>
      <c r="BU8" s="4060" t="str">
        <f>BV7&amp;"-"&amp;BX7</f>
        <v>-</v>
      </c>
      <c r="BV8" s="4061"/>
      <c r="BW8" s="4055"/>
      <c r="BX8" s="4061"/>
      <c r="BY8" s="4055"/>
      <c r="BZ8" s="1666"/>
      <c r="CA8" s="2576"/>
      <c r="CC8" s="727"/>
      <c r="CD8" s="727" t="str">
        <f>IF(T8="","",T8)</f>
        <v/>
      </c>
      <c r="CE8" s="727"/>
      <c r="CF8" s="727"/>
      <c r="CG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4063"/>
      <c r="AK9" s="4064"/>
      <c r="AL9" s="4065"/>
      <c r="AM9" s="4066"/>
      <c r="AN9" s="4067"/>
      <c r="AO9" s="4068"/>
      <c r="AP9" s="4069"/>
      <c r="AQ9" s="4070"/>
      <c r="AR9" s="4071"/>
      <c r="AS9" s="4072"/>
      <c r="AT9" s="4073"/>
      <c r="AU9" s="4074"/>
      <c r="AV9" s="4075"/>
      <c r="AW9" s="4076"/>
      <c r="AX9" s="4077"/>
      <c r="AY9" s="4078"/>
      <c r="AZ9" s="4079"/>
      <c r="BA9" s="4080"/>
      <c r="BB9" s="4081"/>
      <c r="BC9" s="4082"/>
      <c r="BD9" s="4083"/>
      <c r="BE9" s="4084"/>
      <c r="BF9" s="4085"/>
      <c r="BG9" s="4086"/>
      <c r="BH9" s="4087"/>
      <c r="BI9" s="4088"/>
      <c r="BJ9" s="4089"/>
      <c r="BK9" s="4090"/>
      <c r="BL9" s="4091"/>
      <c r="BM9" s="4092"/>
      <c r="BN9" s="4093"/>
      <c r="BO9" s="4094"/>
      <c r="BP9" s="4095"/>
      <c r="BQ9" s="4096"/>
      <c r="BR9" s="4097"/>
      <c r="BS9" s="4098"/>
      <c r="BT9" s="4099"/>
      <c r="BU9" s="4100"/>
      <c r="BV9" s="4101"/>
      <c r="BW9" s="4102"/>
      <c r="BX9" s="4103"/>
      <c r="BY9" s="4104"/>
      <c r="BZ9" s="594"/>
      <c r="CA9" s="1485" t="s">
        <v>489</v>
      </c>
      <c r="CC9" s="727"/>
      <c r="CD9" s="727" t="str">
        <f>IF(T9="","",T9)</f>
        <v>Добавить значение признака дифференциации</v>
      </c>
      <c r="CE9" s="727"/>
      <c r="CF9" s="727"/>
      <c r="CG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4105"/>
      <c r="AK10" s="4106"/>
      <c r="AL10" s="4107"/>
      <c r="AM10" s="4108"/>
      <c r="AN10" s="4109"/>
      <c r="AO10" s="4110"/>
      <c r="AP10" s="4111"/>
      <c r="AQ10" s="4112"/>
      <c r="AR10" s="4113"/>
      <c r="AS10" s="4114"/>
      <c r="AT10" s="4115"/>
      <c r="AU10" s="4116"/>
      <c r="AV10" s="4117"/>
      <c r="AW10" s="4118"/>
      <c r="AX10" s="4119"/>
      <c r="AY10" s="4120"/>
      <c r="AZ10" s="4121"/>
      <c r="BA10" s="4122"/>
      <c r="BB10" s="4123"/>
      <c r="BC10" s="4124"/>
      <c r="BD10" s="4125"/>
      <c r="BE10" s="4126"/>
      <c r="BF10" s="4127"/>
      <c r="BG10" s="4128"/>
      <c r="BH10" s="4129"/>
      <c r="BI10" s="4130"/>
      <c r="BJ10" s="4131"/>
      <c r="BK10" s="4132"/>
      <c r="BL10" s="4133"/>
      <c r="BM10" s="4134"/>
      <c r="BN10" s="4135"/>
      <c r="BO10" s="4136"/>
      <c r="BP10" s="4137"/>
      <c r="BQ10" s="4138"/>
      <c r="BR10" s="4139"/>
      <c r="BS10" s="4140"/>
      <c r="BT10" s="4141"/>
      <c r="BU10" s="4142"/>
      <c r="BV10" s="4143"/>
      <c r="BW10" s="4144"/>
      <c r="BX10" s="4145"/>
      <c r="BY10" s="4146"/>
      <c r="BZ10" s="594"/>
      <c r="CA10" s="1667"/>
      <c r="CC10" s="727"/>
      <c r="CD10" s="727" t="str">
        <f>IF(T10="","",T10)</f>
        <v>Добавить группу потребителей</v>
      </c>
      <c r="CE10" s="727"/>
      <c r="CF10" s="727"/>
      <c r="CG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4149"/>
      <c r="AK11" s="4150"/>
      <c r="AL11" s="4151"/>
      <c r="AM11" s="4152"/>
      <c r="AN11" s="4153"/>
      <c r="AO11" s="4154"/>
      <c r="AP11" s="4155"/>
      <c r="AQ11" s="4156"/>
      <c r="AR11" s="4157"/>
      <c r="AS11" s="4158"/>
      <c r="AT11" s="4159"/>
      <c r="AU11" s="4160"/>
      <c r="AV11" s="4161"/>
      <c r="AW11" s="4162"/>
      <c r="AX11" s="4163"/>
      <c r="AY11" s="4164"/>
      <c r="AZ11" s="4165"/>
      <c r="BA11" s="4166"/>
      <c r="BB11" s="4167"/>
      <c r="BC11" s="4168"/>
      <c r="BD11" s="4169"/>
      <c r="BE11" s="4170"/>
      <c r="BF11" s="4171"/>
      <c r="BG11" s="4172"/>
      <c r="BH11" s="4173"/>
      <c r="BI11" s="4174"/>
      <c r="BJ11" s="4175"/>
      <c r="BK11" s="4176"/>
      <c r="BL11" s="4177"/>
      <c r="BM11" s="4178"/>
      <c r="BN11" s="4179"/>
      <c r="BO11" s="4180"/>
      <c r="BP11" s="4181"/>
      <c r="BQ11" s="4182"/>
      <c r="BR11" s="4183"/>
      <c r="BS11" s="4184"/>
      <c r="BT11" s="4185"/>
      <c r="BU11" s="4186"/>
      <c r="BV11" s="4187"/>
      <c r="BW11" s="4188"/>
      <c r="BX11" s="4189"/>
      <c r="BY11" s="4190"/>
      <c r="BZ11" s="594"/>
      <c r="CA11" s="530"/>
      <c r="CC11" s="727"/>
      <c r="CD11" s="727" t="str">
        <f>IF(T11="","",T11)</f>
        <v>Добавить наименование признака дифференциации</v>
      </c>
      <c r="CE11" s="727"/>
      <c r="CF11" s="727"/>
      <c r="CG11" s="1382">
        <v>0</v>
      </c>
    </row>
    <row s="13222"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229</v>
      </c>
      <c r="U12" s="1551"/>
      <c r="V12" s="1551"/>
      <c r="W12" s="1551"/>
      <c r="X12" s="1551"/>
      <c r="Y12" s="1551"/>
      <c r="Z12" s="1551"/>
      <c r="AA12" s="1551"/>
      <c r="AB12" s="1551"/>
      <c r="AC12" s="1551"/>
      <c r="AD12" s="1551"/>
      <c r="AE12" s="1551"/>
      <c r="AF12" s="1551"/>
      <c r="AG12" s="1551"/>
      <c r="AH12" s="1551"/>
      <c r="AI12" s="1551"/>
      <c r="AJ12" s="4192"/>
      <c r="AK12" s="4192"/>
      <c r="AL12" s="4192"/>
      <c r="AM12" s="4192"/>
      <c r="AN12" s="4192"/>
      <c r="AO12" s="4192"/>
      <c r="AP12" s="4192"/>
      <c r="AQ12" s="4192"/>
      <c r="AR12" s="4192"/>
      <c r="AS12" s="4192"/>
      <c r="AT12" s="4192"/>
      <c r="AU12" s="4192"/>
      <c r="AV12" s="4192"/>
      <c r="AW12" s="4192"/>
      <c r="AX12" s="4192"/>
      <c r="AY12" s="4192"/>
      <c r="AZ12" s="4192"/>
      <c r="BA12" s="4192"/>
      <c r="BB12" s="4192"/>
      <c r="BC12" s="4192"/>
      <c r="BD12" s="4192"/>
      <c r="BE12" s="4192"/>
      <c r="BF12" s="4192"/>
      <c r="BG12" s="4192"/>
      <c r="BH12" s="4192"/>
      <c r="BI12" s="4192"/>
      <c r="BJ12" s="4192"/>
      <c r="BK12" s="4192"/>
      <c r="BL12" s="4192"/>
      <c r="BM12" s="4192"/>
      <c r="BN12" s="4192"/>
      <c r="BO12" s="4192"/>
      <c r="BP12" s="4192"/>
      <c r="BQ12" s="4192"/>
      <c r="BR12" s="4192"/>
      <c r="BS12" s="4192"/>
      <c r="BT12" s="4192"/>
      <c r="BU12" s="4192"/>
      <c r="BV12" s="4192"/>
      <c r="BW12" s="4192"/>
      <c r="BX12" s="4192"/>
      <c r="BY12" s="4192"/>
      <c r="BZ12" s="1551"/>
      <c r="CA12" s="1551"/>
      <c r="CC12" s="1016"/>
      <c r="CD12" s="1016" t="str">
        <f>IF(T12="","",T12)</f>
        <v>Добавить централизованную систему для дифференциации</v>
      </c>
      <c r="CE12" s="1016"/>
      <c r="CF12" s="1016"/>
      <c r="CG12" s="745">
        <v>0</v>
      </c>
    </row>
    <row s="132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230</v>
      </c>
      <c r="U13" s="1551"/>
      <c r="V13" s="1551"/>
      <c r="W13" s="1551"/>
      <c r="X13" s="1551"/>
      <c r="Y13" s="1551"/>
      <c r="Z13" s="1551"/>
      <c r="AA13" s="1551"/>
      <c r="AB13" s="1551"/>
      <c r="AC13" s="1551"/>
      <c r="AD13" s="1551"/>
      <c r="AE13" s="1551"/>
      <c r="AF13" s="1551"/>
      <c r="AG13" s="1551"/>
      <c r="AH13" s="1551"/>
      <c r="AI13" s="1551"/>
      <c r="AJ13" s="4192"/>
      <c r="AK13" s="4192"/>
      <c r="AL13" s="4192"/>
      <c r="AM13" s="4192"/>
      <c r="AN13" s="4192"/>
      <c r="AO13" s="4192"/>
      <c r="AP13" s="4192"/>
      <c r="AQ13" s="4192"/>
      <c r="AR13" s="4192"/>
      <c r="AS13" s="4192"/>
      <c r="AT13" s="4192"/>
      <c r="AU13" s="4192"/>
      <c r="AV13" s="4192"/>
      <c r="AW13" s="4192"/>
      <c r="AX13" s="4192"/>
      <c r="AY13" s="4192"/>
      <c r="AZ13" s="4192"/>
      <c r="BA13" s="4192"/>
      <c r="BB13" s="4192"/>
      <c r="BC13" s="4192"/>
      <c r="BD13" s="4192"/>
      <c r="BE13" s="4192"/>
      <c r="BF13" s="4192"/>
      <c r="BG13" s="4192"/>
      <c r="BH13" s="4192"/>
      <c r="BI13" s="4192"/>
      <c r="BJ13" s="4192"/>
      <c r="BK13" s="4192"/>
      <c r="BL13" s="4192"/>
      <c r="BM13" s="4192"/>
      <c r="BN13" s="4192"/>
      <c r="BO13" s="4192"/>
      <c r="BP13" s="4192"/>
      <c r="BQ13" s="4192"/>
      <c r="BR13" s="4192"/>
      <c r="BS13" s="4192"/>
      <c r="BT13" s="4192"/>
      <c r="BU13" s="4192"/>
      <c r="BV13" s="4192"/>
      <c r="BW13" s="4192"/>
      <c r="BX13" s="4192"/>
      <c r="BY13" s="4192"/>
      <c r="BZ13" s="1551"/>
      <c r="CA13" s="1551"/>
      <c r="CC13" s="727"/>
      <c r="CD13" s="727" t="str">
        <f>IF(T13="","",T13)</f>
        <v>Добавить территорию для дифференциации</v>
      </c>
      <c r="CE13" s="727"/>
      <c r="CF13" s="727"/>
      <c r="CG13" s="738">
        <v>0</v>
      </c>
    </row>
    <row customHeight="1" ht="14.25" hidden="1">
      <c r="AB14" s="554"/>
      <c r="AI14" s="554"/>
      <c r="AJ14" s="4032"/>
      <c r="AK14" s="4032"/>
      <c r="AL14" s="4032"/>
      <c r="AM14" s="4032"/>
      <c r="AN14" s="4032"/>
      <c r="AO14" s="4032"/>
      <c r="AP14" s="4032"/>
      <c r="AQ14" s="4032"/>
      <c r="AR14" s="4032"/>
      <c r="AS14" s="4032"/>
      <c r="AT14" s="4032"/>
      <c r="AU14" s="4032"/>
      <c r="AV14" s="4032"/>
      <c r="AW14" s="4032"/>
      <c r="AX14" s="4032"/>
      <c r="AY14" s="4032"/>
      <c r="AZ14" s="4032"/>
      <c r="BA14" s="4032"/>
      <c r="BB14" s="4032"/>
      <c r="BC14" s="4032"/>
      <c r="BD14" s="4032"/>
      <c r="BE14" s="4032"/>
      <c r="BF14" s="4032"/>
      <c r="BG14" s="4032"/>
      <c r="BH14" s="4032"/>
      <c r="BI14" s="4032"/>
      <c r="BJ14" s="4032"/>
      <c r="BK14" s="4032"/>
      <c r="BL14" s="4032"/>
      <c r="BM14" s="4032"/>
      <c r="BN14" s="4032"/>
      <c r="BO14" s="4032"/>
      <c r="BP14" s="4032"/>
      <c r="BQ14" s="4032"/>
      <c r="BR14" s="4032"/>
      <c r="BS14" s="4032"/>
      <c r="BT14" s="4032"/>
      <c r="BU14" s="4032"/>
      <c r="BV14" s="4032"/>
      <c r="BW14" s="4032"/>
      <c r="BX14" s="4032"/>
      <c r="BY14" s="4032"/>
      <c r="CG14" s="1382">
        <v>0</v>
      </c>
    </row>
    <row customHeight="1" ht="14.25" hidden="1">
      <c r="AC15" s="1587"/>
      <c r="AD15" s="1587"/>
      <c r="AE15" s="1588"/>
      <c r="AF15" s="2494"/>
      <c r="AG15" s="2495" t="s">
        <v>66</v>
      </c>
      <c r="AH15" s="2494"/>
      <c r="AI15" s="2495" t="s">
        <v>66</v>
      </c>
      <c r="AJ15" s="4032"/>
      <c r="AK15" s="4032"/>
      <c r="AL15" s="4032"/>
      <c r="AM15" s="4032"/>
      <c r="AN15" s="4032"/>
      <c r="AO15" s="4032"/>
      <c r="AP15" s="4032"/>
      <c r="AQ15" s="4032"/>
      <c r="AR15" s="4032"/>
      <c r="AS15" s="4032"/>
      <c r="AT15" s="4032"/>
      <c r="AU15" s="4032"/>
      <c r="AV15" s="4032"/>
      <c r="AW15" s="4032"/>
      <c r="AX15" s="4032"/>
      <c r="AY15" s="4032"/>
      <c r="AZ15" s="4032"/>
      <c r="BA15" s="4032"/>
      <c r="BB15" s="4032"/>
      <c r="BC15" s="4032"/>
      <c r="BD15" s="4032"/>
      <c r="BE15" s="4032"/>
      <c r="BF15" s="4032"/>
      <c r="BG15" s="4032"/>
      <c r="BH15" s="4032"/>
      <c r="BI15" s="4032"/>
      <c r="BJ15" s="4032"/>
      <c r="BK15" s="4032"/>
      <c r="BL15" s="4032"/>
      <c r="BM15" s="4032"/>
      <c r="BN15" s="4032"/>
      <c r="BO15" s="4032"/>
      <c r="BP15" s="4032"/>
      <c r="BQ15" s="4032"/>
      <c r="BR15" s="4032"/>
      <c r="BS15" s="4032"/>
      <c r="BT15" s="4032"/>
      <c r="BU15" s="4032"/>
      <c r="BV15" s="4032"/>
      <c r="BW15" s="4032"/>
      <c r="BX15" s="4032"/>
      <c r="BY15" s="4032"/>
      <c r="CG15" s="1382">
        <v>0</v>
      </c>
    </row>
    <row customHeight="1" ht="14.25" hidden="1">
      <c r="AC16" s="1587"/>
      <c r="AD16" s="1587"/>
      <c r="AE16" s="555" t="str">
        <f>AF15&amp;"-"&amp;AH15</f>
        <v>-</v>
      </c>
      <c r="AF16" s="2495"/>
      <c r="AG16" s="2495"/>
      <c r="AH16" s="2495"/>
      <c r="AI16" s="2495"/>
      <c r="AJ16" s="4032"/>
      <c r="AK16" s="4032"/>
      <c r="AL16" s="4032"/>
      <c r="AM16" s="4032"/>
      <c r="AN16" s="4032"/>
      <c r="AO16" s="4032"/>
      <c r="AP16" s="4032"/>
      <c r="AQ16" s="4032"/>
      <c r="AR16" s="4032"/>
      <c r="AS16" s="4032"/>
      <c r="AT16" s="4032"/>
      <c r="AU16" s="4032"/>
      <c r="AV16" s="4032"/>
      <c r="AW16" s="4032"/>
      <c r="AX16" s="4032"/>
      <c r="AY16" s="4032"/>
      <c r="AZ16" s="4032"/>
      <c r="BA16" s="4032"/>
      <c r="BB16" s="4032"/>
      <c r="BC16" s="4032"/>
      <c r="BD16" s="4032"/>
      <c r="BE16" s="4032"/>
      <c r="BF16" s="4032"/>
      <c r="BG16" s="4032"/>
      <c r="BH16" s="4032"/>
      <c r="BI16" s="4032"/>
      <c r="BJ16" s="4032"/>
      <c r="BK16" s="4032"/>
      <c r="BL16" s="4032"/>
      <c r="BM16" s="4032"/>
      <c r="BN16" s="4032"/>
      <c r="BO16" s="4032"/>
      <c r="BP16" s="4032"/>
      <c r="BQ16" s="4032"/>
      <c r="BR16" s="4032"/>
      <c r="BS16" s="4032"/>
      <c r="BT16" s="4032"/>
      <c r="BU16" s="4032"/>
      <c r="BV16" s="4032"/>
      <c r="BW16" s="4032"/>
      <c r="BX16" s="4032"/>
      <c r="BY16" s="4032"/>
      <c r="CG16" s="1382">
        <v>0</v>
      </c>
    </row>
    <row customHeight="1" ht="14.25" hidden="1">
      <c r="AI17" s="554"/>
      <c r="AJ17" s="4032"/>
      <c r="AK17" s="4032"/>
      <c r="AL17" s="4032"/>
      <c r="AM17" s="4032"/>
      <c r="AN17" s="4032"/>
      <c r="AO17" s="4032"/>
      <c r="AP17" s="4032"/>
      <c r="AQ17" s="4032"/>
      <c r="AR17" s="4032"/>
      <c r="AS17" s="4032"/>
      <c r="AT17" s="4032"/>
      <c r="AU17" s="4032"/>
      <c r="AV17" s="4032"/>
      <c r="AW17" s="4032"/>
      <c r="AX17" s="4032"/>
      <c r="AY17" s="4032"/>
      <c r="AZ17" s="4032"/>
      <c r="BA17" s="4032"/>
      <c r="BB17" s="4032"/>
      <c r="BC17" s="4032"/>
      <c r="BD17" s="4032"/>
      <c r="BE17" s="4032"/>
      <c r="BF17" s="4032"/>
      <c r="BG17" s="4032"/>
      <c r="BH17" s="4032"/>
      <c r="BI17" s="4032"/>
      <c r="BJ17" s="4032"/>
      <c r="BK17" s="4032"/>
      <c r="BL17" s="4032"/>
      <c r="BM17" s="4032"/>
      <c r="BN17" s="4032"/>
      <c r="BO17" s="4032"/>
      <c r="BP17" s="4032"/>
      <c r="BQ17" s="4032"/>
      <c r="BR17" s="4032"/>
      <c r="BS17" s="4032"/>
      <c r="BT17" s="4032"/>
      <c r="BU17" s="4032"/>
      <c r="BV17" s="4032"/>
      <c r="BW17" s="4032"/>
      <c r="BX17" s="4032"/>
      <c r="BY17" s="4032"/>
      <c r="CG17" s="1382">
        <v>0</v>
      </c>
    </row>
    <row s="13221" customFormat="1" customHeight="1" ht="22.5" hidden="1">
      <c r="L18" s="1648"/>
      <c r="M18" s="1589"/>
      <c r="N18" s="1589"/>
      <c r="O18" s="1594" t="s">
        <v>420</v>
      </c>
      <c r="P18" s="1589"/>
      <c r="Q18" s="1598"/>
      <c r="R18" s="1598"/>
      <c r="S18" s="956"/>
      <c r="Y18" s="1594"/>
      <c r="AA18" s="1594"/>
      <c r="AB18" s="1593"/>
      <c r="AF18" s="1594"/>
      <c r="AH18" s="1594"/>
      <c r="AI18" s="1593"/>
      <c r="AJ18" s="4194"/>
      <c r="AK18" s="4194"/>
      <c r="AL18" s="4194"/>
      <c r="AM18" s="4195"/>
      <c r="AN18" s="4194"/>
      <c r="AO18" s="4195"/>
      <c r="AP18" s="4194"/>
      <c r="AQ18" s="4194"/>
      <c r="AR18" s="4194"/>
      <c r="AS18" s="4194"/>
      <c r="AT18" s="4195"/>
      <c r="AU18" s="4194"/>
      <c r="AV18" s="4195"/>
      <c r="AW18" s="4194"/>
      <c r="AX18" s="4194"/>
      <c r="AY18" s="4194"/>
      <c r="AZ18" s="4194"/>
      <c r="BA18" s="4195"/>
      <c r="BB18" s="4194"/>
      <c r="BC18" s="4195"/>
      <c r="BD18" s="4194"/>
      <c r="BE18" s="4194"/>
      <c r="BF18" s="4194"/>
      <c r="BG18" s="4194"/>
      <c r="BH18" s="4195"/>
      <c r="BI18" s="4194"/>
      <c r="BJ18" s="4195"/>
      <c r="BK18" s="4194"/>
      <c r="BL18" s="4194"/>
      <c r="BM18" s="4194"/>
      <c r="BN18" s="4194"/>
      <c r="BO18" s="4195"/>
      <c r="BP18" s="4194"/>
      <c r="BQ18" s="4195"/>
      <c r="BR18" s="4194"/>
      <c r="BS18" s="4194"/>
      <c r="BT18" s="4194"/>
      <c r="BU18" s="4194"/>
      <c r="BV18" s="4195"/>
      <c r="BW18" s="4194"/>
      <c r="BX18" s="4195"/>
      <c r="BY18" s="4194"/>
      <c r="CB18" s="738"/>
      <c r="CC18" s="738"/>
      <c r="CD18" s="738"/>
      <c r="CE18" s="738"/>
      <c r="CF18" s="738"/>
      <c r="CG18" s="1387">
        <v>0</v>
      </c>
    </row>
    <row s="13221" customFormat="1" customHeight="1" ht="14.25" hidden="1">
      <c r="L19" s="1648"/>
      <c r="M19" s="1589"/>
      <c r="N19" s="1589"/>
      <c r="O19" s="1589"/>
      <c r="P19" s="1589"/>
      <c r="Q19" s="1598"/>
      <c r="R19" s="1598"/>
      <c r="S19" s="956"/>
      <c r="AB19" s="1593"/>
      <c r="AI19" s="1593"/>
      <c r="AJ19" s="4194"/>
      <c r="AK19" s="4194"/>
      <c r="AL19" s="4194"/>
      <c r="AM19" s="4194"/>
      <c r="AN19" s="4194"/>
      <c r="AO19" s="4194"/>
      <c r="AP19" s="4194"/>
      <c r="AQ19" s="4194"/>
      <c r="AR19" s="4194"/>
      <c r="AS19" s="4194"/>
      <c r="AT19" s="4194"/>
      <c r="AU19" s="4194"/>
      <c r="AV19" s="4194"/>
      <c r="AW19" s="4194"/>
      <c r="AX19" s="4194"/>
      <c r="AY19" s="4194"/>
      <c r="AZ19" s="4194"/>
      <c r="BA19" s="4194"/>
      <c r="BB19" s="4194"/>
      <c r="BC19" s="4194"/>
      <c r="BD19" s="4194"/>
      <c r="BE19" s="4194"/>
      <c r="BF19" s="4194"/>
      <c r="BG19" s="4194"/>
      <c r="BH19" s="4194"/>
      <c r="BI19" s="4194"/>
      <c r="BJ19" s="4194"/>
      <c r="BK19" s="4194"/>
      <c r="BL19" s="4194"/>
      <c r="BM19" s="4194"/>
      <c r="BN19" s="4194"/>
      <c r="BO19" s="4194"/>
      <c r="BP19" s="4194"/>
      <c r="BQ19" s="4194"/>
      <c r="BR19" s="4194"/>
      <c r="BS19" s="4194"/>
      <c r="BT19" s="4194"/>
      <c r="BU19" s="4194"/>
      <c r="BV19" s="4194"/>
      <c r="BW19" s="4194"/>
      <c r="BX19" s="4194"/>
      <c r="BY19" s="4194"/>
      <c r="CB19" s="738"/>
      <c r="CC19" s="738"/>
      <c r="CD19" s="738"/>
      <c r="CE19" s="738"/>
      <c r="CF19" s="738"/>
      <c r="CG19" s="1387">
        <v>0</v>
      </c>
    </row>
    <row s="13221"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J20" s="4194"/>
      <c r="AK20" s="4194"/>
      <c r="AL20" s="4194"/>
      <c r="AM20" s="4194"/>
      <c r="AN20" s="4197" t="s">
        <v>423</v>
      </c>
      <c r="AO20" s="4194"/>
      <c r="AP20" s="4197" t="s">
        <v>424</v>
      </c>
      <c r="AQ20" s="4194"/>
      <c r="AR20" s="4194"/>
      <c r="AS20" s="4194"/>
      <c r="AT20" s="4194"/>
      <c r="AU20" s="4197" t="s">
        <v>423</v>
      </c>
      <c r="AV20" s="4194"/>
      <c r="AW20" s="4197" t="s">
        <v>424</v>
      </c>
      <c r="AX20" s="4194"/>
      <c r="AY20" s="4194"/>
      <c r="AZ20" s="4194"/>
      <c r="BA20" s="4194"/>
      <c r="BB20" s="4197" t="s">
        <v>423</v>
      </c>
      <c r="BC20" s="4194"/>
      <c r="BD20" s="4197" t="s">
        <v>424</v>
      </c>
      <c r="BE20" s="4194"/>
      <c r="BF20" s="4194"/>
      <c r="BG20" s="4194"/>
      <c r="BH20" s="4194"/>
      <c r="BI20" s="4197" t="s">
        <v>423</v>
      </c>
      <c r="BJ20" s="4194"/>
      <c r="BK20" s="4197" t="s">
        <v>424</v>
      </c>
      <c r="BL20" s="4194"/>
      <c r="BM20" s="4194"/>
      <c r="BN20" s="4194"/>
      <c r="BO20" s="4194"/>
      <c r="BP20" s="4197" t="s">
        <v>423</v>
      </c>
      <c r="BQ20" s="4194"/>
      <c r="BR20" s="4197" t="s">
        <v>424</v>
      </c>
      <c r="BS20" s="4194"/>
      <c r="BT20" s="4194"/>
      <c r="BU20" s="4194"/>
      <c r="BV20" s="4194"/>
      <c r="BW20" s="4197" t="s">
        <v>423</v>
      </c>
      <c r="BX20" s="4194"/>
      <c r="BY20" s="4197" t="s">
        <v>424</v>
      </c>
      <c r="CG20" s="1387">
        <v>0</v>
      </c>
    </row>
    <row customHeight="1" ht="14.25" hidden="1">
      <c r="O21" s="1591"/>
      <c r="AJ21" s="4032"/>
      <c r="AK21" s="4032"/>
      <c r="AL21" s="4032"/>
      <c r="AM21" s="4032"/>
      <c r="AN21" s="4032"/>
      <c r="AO21" s="4032"/>
      <c r="AP21" s="4032"/>
      <c r="AQ21" s="4032"/>
      <c r="AR21" s="4032"/>
      <c r="AS21" s="4032"/>
      <c r="AT21" s="4032"/>
      <c r="AU21" s="4032"/>
      <c r="AV21" s="4032"/>
      <c r="AW21" s="4032"/>
      <c r="AX21" s="4032"/>
      <c r="AY21" s="4032"/>
      <c r="AZ21" s="4032"/>
      <c r="BA21" s="4032"/>
      <c r="BB21" s="4032"/>
      <c r="BC21" s="4032"/>
      <c r="BD21" s="4032"/>
      <c r="BE21" s="4032"/>
      <c r="BF21" s="4032"/>
      <c r="BG21" s="4032"/>
      <c r="BH21" s="4032"/>
      <c r="BI21" s="4032"/>
      <c r="BJ21" s="4032"/>
      <c r="BK21" s="4032"/>
      <c r="BL21" s="4032"/>
      <c r="BM21" s="4032"/>
      <c r="BN21" s="4032"/>
      <c r="BO21" s="4032"/>
      <c r="BP21" s="4032"/>
      <c r="BQ21" s="4032"/>
      <c r="BR21" s="4032"/>
      <c r="BS21" s="4032"/>
      <c r="BT21" s="4032"/>
      <c r="BU21" s="4032"/>
      <c r="BV21" s="4032"/>
      <c r="BW21" s="4032"/>
      <c r="BX21" s="4032"/>
      <c r="BY21" s="4032"/>
      <c r="CG21" s="1382">
        <v>0</v>
      </c>
    </row>
    <row customHeight="1" ht="14.25" hidden="1">
      <c r="O22" s="1591"/>
      <c r="AJ22" s="4032"/>
      <c r="AK22" s="4032"/>
      <c r="AL22" s="4032"/>
      <c r="AM22" s="4032"/>
      <c r="AN22" s="4032"/>
      <c r="AO22" s="4032"/>
      <c r="AP22" s="4032"/>
      <c r="AQ22" s="4032"/>
      <c r="AR22" s="4032"/>
      <c r="AS22" s="4032"/>
      <c r="AT22" s="4032"/>
      <c r="AU22" s="4032"/>
      <c r="AV22" s="4032"/>
      <c r="AW22" s="4032"/>
      <c r="AX22" s="4032"/>
      <c r="AY22" s="4032"/>
      <c r="AZ22" s="4032"/>
      <c r="BA22" s="4032"/>
      <c r="BB22" s="4032"/>
      <c r="BC22" s="4032"/>
      <c r="BD22" s="4032"/>
      <c r="BE22" s="4032"/>
      <c r="BF22" s="4032"/>
      <c r="BG22" s="4032"/>
      <c r="BH22" s="4032"/>
      <c r="BI22" s="4032"/>
      <c r="BJ22" s="4032"/>
      <c r="BK22" s="4032"/>
      <c r="BL22" s="4032"/>
      <c r="BM22" s="4032"/>
      <c r="BN22" s="4032"/>
      <c r="BO22" s="4032"/>
      <c r="BP22" s="4032"/>
      <c r="BQ22" s="4032"/>
      <c r="BR22" s="4032"/>
      <c r="BS22" s="4032"/>
      <c r="BT22" s="4032"/>
      <c r="BU22" s="4032"/>
      <c r="BV22" s="4032"/>
      <c r="BW22" s="4032"/>
      <c r="BX22" s="4032"/>
      <c r="BY22" s="4032"/>
      <c r="CG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J23" s="4032"/>
      <c r="AK23" s="4032"/>
      <c r="AL23" s="4032"/>
      <c r="AM23" s="4032"/>
      <c r="AN23" s="4032"/>
      <c r="AO23" s="4032"/>
      <c r="AP23" s="4032"/>
      <c r="AQ23" s="4032"/>
      <c r="AR23" s="4032"/>
      <c r="AS23" s="4032"/>
      <c r="AT23" s="4032"/>
      <c r="AU23" s="4032"/>
      <c r="AV23" s="4032"/>
      <c r="AW23" s="4032"/>
      <c r="AX23" s="4032"/>
      <c r="AY23" s="4032"/>
      <c r="AZ23" s="4032"/>
      <c r="BA23" s="4032"/>
      <c r="BB23" s="4032"/>
      <c r="BC23" s="4032"/>
      <c r="BD23" s="4032"/>
      <c r="BE23" s="4032"/>
      <c r="BF23" s="4032"/>
      <c r="BG23" s="4032"/>
      <c r="BH23" s="4032"/>
      <c r="BI23" s="4032"/>
      <c r="BJ23" s="4032"/>
      <c r="BK23" s="4032"/>
      <c r="BL23" s="4032"/>
      <c r="BM23" s="4032"/>
      <c r="BN23" s="4032"/>
      <c r="BO23" s="4032"/>
      <c r="BP23" s="4032"/>
      <c r="BQ23" s="4032"/>
      <c r="BR23" s="4032"/>
      <c r="BS23" s="4032"/>
      <c r="BT23" s="4032"/>
      <c r="BU23" s="4032"/>
      <c r="BV23" s="4032"/>
      <c r="BW23" s="4032"/>
      <c r="BX23" s="4032"/>
      <c r="BY23" s="4032"/>
      <c r="CG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J24" s="4198"/>
      <c r="AK24" s="4198"/>
      <c r="AL24" s="4198"/>
      <c r="AM24" s="4198"/>
      <c r="AN24" s="4198"/>
      <c r="AO24" s="4198"/>
      <c r="AP24" s="4198"/>
      <c r="AQ24" s="4198"/>
      <c r="AR24" s="4198"/>
      <c r="AS24" s="4198"/>
      <c r="AT24" s="4198"/>
      <c r="AU24" s="4198"/>
      <c r="AV24" s="4198"/>
      <c r="AW24" s="4198"/>
      <c r="AX24" s="4198"/>
      <c r="AY24" s="4198"/>
      <c r="AZ24" s="4198"/>
      <c r="BA24" s="4198"/>
      <c r="BB24" s="4198"/>
      <c r="BC24" s="4198"/>
      <c r="BD24" s="4198"/>
      <c r="BE24" s="4198"/>
      <c r="BF24" s="4198"/>
      <c r="BG24" s="4198"/>
      <c r="BH24" s="4198"/>
      <c r="BI24" s="4198"/>
      <c r="BJ24" s="4198"/>
      <c r="BK24" s="4198"/>
      <c r="BL24" s="4198"/>
      <c r="BM24" s="4198"/>
      <c r="BN24" s="4198"/>
      <c r="BO24" s="4198"/>
      <c r="BP24" s="4198"/>
      <c r="BQ24" s="4198"/>
      <c r="BR24" s="4198"/>
      <c r="BS24" s="4198"/>
      <c r="BT24" s="4198"/>
      <c r="BU24" s="4198"/>
      <c r="BV24" s="4198"/>
      <c r="BW24" s="4198"/>
      <c r="BX24" s="4198"/>
      <c r="BY24" s="4198"/>
      <c r="CG24" s="1382">
        <v>14</v>
      </c>
    </row>
    <row customHeight="1" ht="14.699999999999998">
      <c r="Q25" s="603"/>
      <c r="R25" s="603"/>
      <c r="S25" s="2476" t="str">
        <f>IF(org=0,"Не определено",org)</f>
        <v>МУП "Уссурийск-Водоканал"</v>
      </c>
      <c r="T25" s="2476"/>
      <c r="U25" s="2476"/>
      <c r="V25" s="2476"/>
      <c r="W25" s="2476"/>
      <c r="X25" s="2476"/>
      <c r="Y25" s="2476"/>
      <c r="Z25" s="2476"/>
      <c r="AA25" s="2476"/>
      <c r="AB25" s="2476"/>
      <c r="AC25" s="2476"/>
      <c r="AD25" s="2476"/>
      <c r="AE25" s="2476"/>
      <c r="AF25" s="2476"/>
      <c r="AG25" s="2476"/>
      <c r="AH25" s="2476"/>
      <c r="AI25" s="1470"/>
      <c r="AJ25" s="4199"/>
      <c r="AK25" s="4199"/>
      <c r="AL25" s="4199"/>
      <c r="AM25" s="4199"/>
      <c r="AN25" s="4199"/>
      <c r="AO25" s="4199"/>
      <c r="AP25" s="4199"/>
      <c r="AQ25" s="4199"/>
      <c r="AR25" s="4199"/>
      <c r="AS25" s="4199"/>
      <c r="AT25" s="4199"/>
      <c r="AU25" s="4199"/>
      <c r="AV25" s="4199"/>
      <c r="AW25" s="4199"/>
      <c r="AX25" s="4199"/>
      <c r="AY25" s="4199"/>
      <c r="AZ25" s="4199"/>
      <c r="BA25" s="4199"/>
      <c r="BB25" s="4199"/>
      <c r="BC25" s="4199"/>
      <c r="BD25" s="4199"/>
      <c r="BE25" s="4199"/>
      <c r="BF25" s="4199"/>
      <c r="BG25" s="4199"/>
      <c r="BH25" s="4199"/>
      <c r="BI25" s="4199"/>
      <c r="BJ25" s="4199"/>
      <c r="BK25" s="4199"/>
      <c r="BL25" s="4199"/>
      <c r="BM25" s="4199"/>
      <c r="BN25" s="4199"/>
      <c r="BO25" s="4199"/>
      <c r="BP25" s="4199"/>
      <c r="BQ25" s="4199"/>
      <c r="BR25" s="4199"/>
      <c r="BS25" s="4199"/>
      <c r="BT25" s="4199"/>
      <c r="BU25" s="4199"/>
      <c r="BV25" s="4199"/>
      <c r="BW25" s="4199"/>
      <c r="BX25" s="4199"/>
      <c r="BY25" s="4199"/>
      <c r="CG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4200"/>
      <c r="AK26" s="4200"/>
      <c r="AL26" s="4200"/>
      <c r="AM26" s="4200"/>
      <c r="AN26" s="4200"/>
      <c r="AO26" s="4200"/>
      <c r="AP26" s="4200"/>
      <c r="AQ26" s="4200"/>
      <c r="AR26" s="4200"/>
      <c r="AS26" s="4200"/>
      <c r="AT26" s="4200"/>
      <c r="AU26" s="4200"/>
      <c r="AV26" s="4200"/>
      <c r="AW26" s="4200"/>
      <c r="AX26" s="4200"/>
      <c r="AY26" s="4200"/>
      <c r="AZ26" s="4200"/>
      <c r="BA26" s="4200"/>
      <c r="BB26" s="4200"/>
      <c r="BC26" s="4200"/>
      <c r="BD26" s="4200"/>
      <c r="BE26" s="4200"/>
      <c r="BF26" s="4200"/>
      <c r="BG26" s="4200"/>
      <c r="BH26" s="4200"/>
      <c r="BI26" s="4200"/>
      <c r="BJ26" s="4200"/>
      <c r="BK26" s="4200"/>
      <c r="BL26" s="4200"/>
      <c r="BM26" s="4200"/>
      <c r="BN26" s="4200"/>
      <c r="BO26" s="4200"/>
      <c r="BP26" s="4200"/>
      <c r="BQ26" s="4200"/>
      <c r="BR26" s="4200"/>
      <c r="BS26" s="4200"/>
      <c r="BT26" s="4200"/>
      <c r="BU26" s="4200"/>
      <c r="BV26" s="4200"/>
      <c r="BW26" s="4200"/>
      <c r="BX26" s="4200"/>
      <c r="BY26" s="4200"/>
      <c r="BZ26" s="736"/>
      <c r="CG26" s="1382">
        <v>0</v>
      </c>
    </row>
    <row s="1334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4201" t="str">
        <f>IF(TITLE_NAME_OR_PR_CHANGE="",IF(TITLE_NAME_OR_PR="","",TITLE_NAME_OR_PR),TITLE_NAME_OR_PR_CHANGE)</f>
        <v/>
      </c>
      <c r="AK27" s="4201"/>
      <c r="AL27" s="4201"/>
      <c r="AM27" s="4201"/>
      <c r="AN27" s="4201"/>
      <c r="AO27" s="4201"/>
      <c r="AP27" s="4032"/>
      <c r="AQ27" s="4201" t="str">
        <f>IF(TITLE_NAME_OR_PR_CHANGE="",IF(TITLE_NAME_OR_PR="","",TITLE_NAME_OR_PR),TITLE_NAME_OR_PR_CHANGE)</f>
        <v/>
      </c>
      <c r="AR27" s="4201"/>
      <c r="AS27" s="4201"/>
      <c r="AT27" s="4201"/>
      <c r="AU27" s="4201"/>
      <c r="AV27" s="4201"/>
      <c r="AW27" s="4032"/>
      <c r="AX27" s="4201" t="str">
        <f>IF(TITLE_NAME_OR_PR_CHANGE="",IF(TITLE_NAME_OR_PR="","",TITLE_NAME_OR_PR),TITLE_NAME_OR_PR_CHANGE)</f>
        <v/>
      </c>
      <c r="AY27" s="4201"/>
      <c r="AZ27" s="4201"/>
      <c r="BA27" s="4201"/>
      <c r="BB27" s="4201"/>
      <c r="BC27" s="4201"/>
      <c r="BD27" s="4032"/>
      <c r="BE27" s="4201" t="str">
        <f>IF(TITLE_NAME_OR_PR_CHANGE="",IF(TITLE_NAME_OR_PR="","",TITLE_NAME_OR_PR),TITLE_NAME_OR_PR_CHANGE)</f>
        <v/>
      </c>
      <c r="BF27" s="4201"/>
      <c r="BG27" s="4201"/>
      <c r="BH27" s="4201"/>
      <c r="BI27" s="4201"/>
      <c r="BJ27" s="4201"/>
      <c r="BK27" s="4032"/>
      <c r="BL27" s="4201" t="str">
        <f>IF(TITLE_NAME_OR_PR_CHANGE="",IF(TITLE_NAME_OR_PR="","",TITLE_NAME_OR_PR),TITLE_NAME_OR_PR_CHANGE)</f>
        <v/>
      </c>
      <c r="BM27" s="4201"/>
      <c r="BN27" s="4201"/>
      <c r="BO27" s="4201"/>
      <c r="BP27" s="4201"/>
      <c r="BQ27" s="4201"/>
      <c r="BR27" s="4032"/>
      <c r="BS27" s="4201" t="str">
        <f>IF(TITLE_NAME_OR_PR_CHANGE="",IF(TITLE_NAME_OR_PR="","",TITLE_NAME_OR_PR),TITLE_NAME_OR_PR_CHANGE)</f>
        <v/>
      </c>
      <c r="BT27" s="4201"/>
      <c r="BU27" s="4201"/>
      <c r="BV27" s="4201"/>
      <c r="BW27" s="4201"/>
      <c r="BX27" s="4201"/>
      <c r="BY27" s="4032"/>
      <c r="BZ27" s="553"/>
      <c r="CA27" s="507"/>
      <c r="CB27" s="595"/>
      <c r="CC27" s="595"/>
      <c r="CD27" s="595"/>
      <c r="CE27" s="595"/>
      <c r="CF27" s="595"/>
      <c r="CG27" s="645">
        <v>0</v>
      </c>
    </row>
    <row s="13348"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4202" t="str">
        <f>IF(TITLE_DATE_PR_CHANGE="",IF(TITLE_DATE_PR="","",TITLE_DATE_PR),TITLE_DATE_PR_CHANGE)</f>
        <v>45408</v>
      </c>
      <c r="AK28" s="4202"/>
      <c r="AL28" s="4202"/>
      <c r="AM28" s="4202"/>
      <c r="AN28" s="4202"/>
      <c r="AO28" s="4202"/>
      <c r="AP28" s="4032"/>
      <c r="AQ28" s="4202" t="str">
        <f>IF(TITLE_DATE_PR_CHANGE="",IF(TITLE_DATE_PR="","",TITLE_DATE_PR),TITLE_DATE_PR_CHANGE)</f>
        <v>45408</v>
      </c>
      <c r="AR28" s="4202"/>
      <c r="AS28" s="4202"/>
      <c r="AT28" s="4202"/>
      <c r="AU28" s="4202"/>
      <c r="AV28" s="4202"/>
      <c r="AW28" s="4032"/>
      <c r="AX28" s="4202" t="str">
        <f>IF(TITLE_DATE_PR_CHANGE="",IF(TITLE_DATE_PR="","",TITLE_DATE_PR),TITLE_DATE_PR_CHANGE)</f>
        <v>45408</v>
      </c>
      <c r="AY28" s="4202"/>
      <c r="AZ28" s="4202"/>
      <c r="BA28" s="4202"/>
      <c r="BB28" s="4202"/>
      <c r="BC28" s="4202"/>
      <c r="BD28" s="4032"/>
      <c r="BE28" s="4202" t="str">
        <f>IF(TITLE_DATE_PR_CHANGE="",IF(TITLE_DATE_PR="","",TITLE_DATE_PR),TITLE_DATE_PR_CHANGE)</f>
        <v>45408</v>
      </c>
      <c r="BF28" s="4202"/>
      <c r="BG28" s="4202"/>
      <c r="BH28" s="4202"/>
      <c r="BI28" s="4202"/>
      <c r="BJ28" s="4202"/>
      <c r="BK28" s="4032"/>
      <c r="BL28" s="4202" t="str">
        <f>IF(TITLE_DATE_PR_CHANGE="",IF(TITLE_DATE_PR="","",TITLE_DATE_PR),TITLE_DATE_PR_CHANGE)</f>
        <v>45408</v>
      </c>
      <c r="BM28" s="4202"/>
      <c r="BN28" s="4202"/>
      <c r="BO28" s="4202"/>
      <c r="BP28" s="4202"/>
      <c r="BQ28" s="4202"/>
      <c r="BR28" s="4032"/>
      <c r="BS28" s="4202" t="str">
        <f>IF(TITLE_DATE_PR_CHANGE="",IF(TITLE_DATE_PR="","",TITLE_DATE_PR),TITLE_DATE_PR_CHANGE)</f>
        <v>45408</v>
      </c>
      <c r="BT28" s="4202"/>
      <c r="BU28" s="4202"/>
      <c r="BV28" s="4202"/>
      <c r="BW28" s="4202"/>
      <c r="BX28" s="4202"/>
      <c r="BY28" s="4032"/>
      <c r="BZ28" s="553"/>
      <c r="CA28" s="507"/>
      <c r="CB28" s="595"/>
      <c r="CC28" s="595"/>
      <c r="CD28" s="595"/>
      <c r="CE28" s="595"/>
      <c r="CF28" s="595"/>
      <c r="CG28" s="645">
        <v>0</v>
      </c>
    </row>
    <row s="13348"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27-2085</v>
      </c>
      <c r="W29" s="2478"/>
      <c r="X29" s="2478"/>
      <c r="Y29" s="2478"/>
      <c r="Z29" s="2478"/>
      <c r="AA29" s="2478"/>
      <c r="AB29" s="553"/>
      <c r="AC29" s="2478" t="str">
        <f>IF(TITLE_NUMBER_PR_CHANGE="",IF(TITLE_NUMBER_PR="","",TITLE_NUMBER_PR),TITLE_NUMBER_PR_CHANGE)</f>
        <v>27-2085</v>
      </c>
      <c r="AD29" s="2478"/>
      <c r="AE29" s="2478"/>
      <c r="AF29" s="2478"/>
      <c r="AG29" s="2478"/>
      <c r="AH29" s="2478"/>
      <c r="AI29" s="553"/>
      <c r="AJ29" s="4201" t="str">
        <f>IF(TITLE_NUMBER_PR_CHANGE="",IF(TITLE_NUMBER_PR="","",TITLE_NUMBER_PR),TITLE_NUMBER_PR_CHANGE)</f>
        <v>27-2085</v>
      </c>
      <c r="AK29" s="4201"/>
      <c r="AL29" s="4201"/>
      <c r="AM29" s="4201"/>
      <c r="AN29" s="4201"/>
      <c r="AO29" s="4201"/>
      <c r="AP29" s="4032"/>
      <c r="AQ29" s="4201" t="str">
        <f>IF(TITLE_NUMBER_PR_CHANGE="",IF(TITLE_NUMBER_PR="","",TITLE_NUMBER_PR),TITLE_NUMBER_PR_CHANGE)</f>
        <v>27-2085</v>
      </c>
      <c r="AR29" s="4201"/>
      <c r="AS29" s="4201"/>
      <c r="AT29" s="4201"/>
      <c r="AU29" s="4201"/>
      <c r="AV29" s="4201"/>
      <c r="AW29" s="4032"/>
      <c r="AX29" s="4201" t="str">
        <f>IF(TITLE_NUMBER_PR_CHANGE="",IF(TITLE_NUMBER_PR="","",TITLE_NUMBER_PR),TITLE_NUMBER_PR_CHANGE)</f>
        <v>27-2085</v>
      </c>
      <c r="AY29" s="4201"/>
      <c r="AZ29" s="4201"/>
      <c r="BA29" s="4201"/>
      <c r="BB29" s="4201"/>
      <c r="BC29" s="4201"/>
      <c r="BD29" s="4032"/>
      <c r="BE29" s="4201" t="str">
        <f>IF(TITLE_NUMBER_PR_CHANGE="",IF(TITLE_NUMBER_PR="","",TITLE_NUMBER_PR),TITLE_NUMBER_PR_CHANGE)</f>
        <v>27-2085</v>
      </c>
      <c r="BF29" s="4201"/>
      <c r="BG29" s="4201"/>
      <c r="BH29" s="4201"/>
      <c r="BI29" s="4201"/>
      <c r="BJ29" s="4201"/>
      <c r="BK29" s="4032"/>
      <c r="BL29" s="4201" t="str">
        <f>IF(TITLE_NUMBER_PR_CHANGE="",IF(TITLE_NUMBER_PR="","",TITLE_NUMBER_PR),TITLE_NUMBER_PR_CHANGE)</f>
        <v>27-2085</v>
      </c>
      <c r="BM29" s="4201"/>
      <c r="BN29" s="4201"/>
      <c r="BO29" s="4201"/>
      <c r="BP29" s="4201"/>
      <c r="BQ29" s="4201"/>
      <c r="BR29" s="4032"/>
      <c r="BS29" s="4201" t="str">
        <f>IF(TITLE_NUMBER_PR_CHANGE="",IF(TITLE_NUMBER_PR="","",TITLE_NUMBER_PR),TITLE_NUMBER_PR_CHANGE)</f>
        <v>27-2085</v>
      </c>
      <c r="BT29" s="4201"/>
      <c r="BU29" s="4201"/>
      <c r="BV29" s="4201"/>
      <c r="BW29" s="4201"/>
      <c r="BX29" s="4201"/>
      <c r="BY29" s="4032"/>
      <c r="BZ29" s="553"/>
      <c r="CA29" s="507"/>
      <c r="CB29" s="595"/>
      <c r="CC29" s="595"/>
      <c r="CD29" s="595"/>
      <c r="CE29" s="595"/>
      <c r="CF29" s="595"/>
      <c r="CG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4201" t="str">
        <f>IF(TITLE_IST_PUB_CHANGE="",IF(TITLE_IST_PUB="","",TITLE_IST_PUB),TITLE_IST_PUB_CHANGE)</f>
        <v/>
      </c>
      <c r="AK30" s="4201"/>
      <c r="AL30" s="4201"/>
      <c r="AM30" s="4201"/>
      <c r="AN30" s="4201"/>
      <c r="AO30" s="4201"/>
      <c r="AP30" s="4032"/>
      <c r="AQ30" s="4201" t="str">
        <f>IF(TITLE_IST_PUB_CHANGE="",IF(TITLE_IST_PUB="","",TITLE_IST_PUB),TITLE_IST_PUB_CHANGE)</f>
        <v/>
      </c>
      <c r="AR30" s="4201"/>
      <c r="AS30" s="4201"/>
      <c r="AT30" s="4201"/>
      <c r="AU30" s="4201"/>
      <c r="AV30" s="4201"/>
      <c r="AW30" s="4032"/>
      <c r="AX30" s="4201" t="str">
        <f>IF(TITLE_IST_PUB_CHANGE="",IF(TITLE_IST_PUB="","",TITLE_IST_PUB),TITLE_IST_PUB_CHANGE)</f>
        <v/>
      </c>
      <c r="AY30" s="4201"/>
      <c r="AZ30" s="4201"/>
      <c r="BA30" s="4201"/>
      <c r="BB30" s="4201"/>
      <c r="BC30" s="4201"/>
      <c r="BD30" s="4032"/>
      <c r="BE30" s="4201" t="str">
        <f>IF(TITLE_IST_PUB_CHANGE="",IF(TITLE_IST_PUB="","",TITLE_IST_PUB),TITLE_IST_PUB_CHANGE)</f>
        <v/>
      </c>
      <c r="BF30" s="4201"/>
      <c r="BG30" s="4201"/>
      <c r="BH30" s="4201"/>
      <c r="BI30" s="4201"/>
      <c r="BJ30" s="4201"/>
      <c r="BK30" s="4032"/>
      <c r="BL30" s="4201" t="str">
        <f>IF(TITLE_IST_PUB_CHANGE="",IF(TITLE_IST_PUB="","",TITLE_IST_PUB),TITLE_IST_PUB_CHANGE)</f>
        <v/>
      </c>
      <c r="BM30" s="4201"/>
      <c r="BN30" s="4201"/>
      <c r="BO30" s="4201"/>
      <c r="BP30" s="4201"/>
      <c r="BQ30" s="4201"/>
      <c r="BR30" s="4032"/>
      <c r="BS30" s="4201" t="str">
        <f>IF(TITLE_IST_PUB_CHANGE="",IF(TITLE_IST_PUB="","",TITLE_IST_PUB),TITLE_IST_PUB_CHANGE)</f>
        <v/>
      </c>
      <c r="BT30" s="4201"/>
      <c r="BU30" s="4201"/>
      <c r="BV30" s="4201"/>
      <c r="BW30" s="4201"/>
      <c r="BX30" s="4201"/>
      <c r="BY30" s="4032"/>
      <c r="BZ30" s="553"/>
      <c r="CA30" s="507"/>
      <c r="CB30" s="595"/>
      <c r="CC30" s="595"/>
      <c r="CD30" s="595"/>
      <c r="CE30" s="595"/>
      <c r="CF30" s="595"/>
      <c r="CG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4200"/>
      <c r="AK31" s="4200"/>
      <c r="AL31" s="4200"/>
      <c r="AM31" s="4200"/>
      <c r="AN31" s="4200"/>
      <c r="AO31" s="4200"/>
      <c r="AP31" s="4200"/>
      <c r="AQ31" s="4200"/>
      <c r="AR31" s="4200"/>
      <c r="AS31" s="4200"/>
      <c r="AT31" s="4200"/>
      <c r="AU31" s="4200"/>
      <c r="AV31" s="4200"/>
      <c r="AW31" s="4200"/>
      <c r="AX31" s="4200"/>
      <c r="AY31" s="4200"/>
      <c r="AZ31" s="4200"/>
      <c r="BA31" s="4200"/>
      <c r="BB31" s="4200"/>
      <c r="BC31" s="4200"/>
      <c r="BD31" s="4200"/>
      <c r="BE31" s="4200"/>
      <c r="BF31" s="4200"/>
      <c r="BG31" s="4200"/>
      <c r="BH31" s="4200"/>
      <c r="BI31" s="4200"/>
      <c r="BJ31" s="4200"/>
      <c r="BK31" s="4200"/>
      <c r="BL31" s="4200"/>
      <c r="BM31" s="4200"/>
      <c r="BN31" s="4200"/>
      <c r="BO31" s="4200"/>
      <c r="BP31" s="4200"/>
      <c r="BQ31" s="4200"/>
      <c r="BR31" s="4200"/>
      <c r="BS31" s="4200"/>
      <c r="BT31" s="4200"/>
      <c r="BU31" s="4200"/>
      <c r="BV31" s="4200"/>
      <c r="BW31" s="4200"/>
      <c r="BX31" s="4200"/>
      <c r="BY31" s="4200"/>
      <c r="BZ31" s="736"/>
      <c r="CG31" s="1382">
        <v>0</v>
      </c>
    </row>
    <row s="13348"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4202" t="str">
        <f>IF(TITLE_DATE_PR_CHANGE="",IF(TITLE_DATE_PR="","",TITLE_DATE_PR),TITLE_DATE_PR_CHANGE)</f>
        <v>45408</v>
      </c>
      <c r="AK32" s="4202"/>
      <c r="AL32" s="4202"/>
      <c r="AM32" s="4202"/>
      <c r="AN32" s="4202"/>
      <c r="AO32" s="4202"/>
      <c r="AP32" s="4032"/>
      <c r="AQ32" s="4202" t="str">
        <f>IF(TITLE_DATE_PR_CHANGE="",IF(TITLE_DATE_PR="","",TITLE_DATE_PR),TITLE_DATE_PR_CHANGE)</f>
        <v>45408</v>
      </c>
      <c r="AR32" s="4202"/>
      <c r="AS32" s="4202"/>
      <c r="AT32" s="4202"/>
      <c r="AU32" s="4202"/>
      <c r="AV32" s="4202"/>
      <c r="AW32" s="4032"/>
      <c r="AX32" s="4202" t="str">
        <f>IF(TITLE_DATE_PR_CHANGE="",IF(TITLE_DATE_PR="","",TITLE_DATE_PR),TITLE_DATE_PR_CHANGE)</f>
        <v>45408</v>
      </c>
      <c r="AY32" s="4202"/>
      <c r="AZ32" s="4202"/>
      <c r="BA32" s="4202"/>
      <c r="BB32" s="4202"/>
      <c r="BC32" s="4202"/>
      <c r="BD32" s="4032"/>
      <c r="BE32" s="4202" t="str">
        <f>IF(TITLE_DATE_PR_CHANGE="",IF(TITLE_DATE_PR="","",TITLE_DATE_PR),TITLE_DATE_PR_CHANGE)</f>
        <v>45408</v>
      </c>
      <c r="BF32" s="4202"/>
      <c r="BG32" s="4202"/>
      <c r="BH32" s="4202"/>
      <c r="BI32" s="4202"/>
      <c r="BJ32" s="4202"/>
      <c r="BK32" s="4032"/>
      <c r="BL32" s="4202" t="str">
        <f>IF(TITLE_DATE_PR_CHANGE="",IF(TITLE_DATE_PR="","",TITLE_DATE_PR),TITLE_DATE_PR_CHANGE)</f>
        <v>45408</v>
      </c>
      <c r="BM32" s="4202"/>
      <c r="BN32" s="4202"/>
      <c r="BO32" s="4202"/>
      <c r="BP32" s="4202"/>
      <c r="BQ32" s="4202"/>
      <c r="BR32" s="4032"/>
      <c r="BS32" s="4202" t="str">
        <f>IF(TITLE_DATE_PR_CHANGE="",IF(TITLE_DATE_PR="","",TITLE_DATE_PR),TITLE_DATE_PR_CHANGE)</f>
        <v>45408</v>
      </c>
      <c r="BT32" s="4202"/>
      <c r="BU32" s="4202"/>
      <c r="BV32" s="4202"/>
      <c r="BW32" s="4202"/>
      <c r="BX32" s="4202"/>
      <c r="BY32" s="4032"/>
      <c r="BZ32" s="553"/>
      <c r="CA32" s="507"/>
      <c r="CB32" s="595"/>
      <c r="CC32" s="595"/>
      <c r="CD32" s="595"/>
      <c r="CE32" s="595"/>
      <c r="CF32" s="595"/>
      <c r="CG32" s="645">
        <v>0</v>
      </c>
    </row>
    <row s="13348"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27-2085</v>
      </c>
      <c r="W33" s="2478"/>
      <c r="X33" s="2478"/>
      <c r="Y33" s="2478"/>
      <c r="Z33" s="2478"/>
      <c r="AA33" s="2478"/>
      <c r="AB33" s="553"/>
      <c r="AC33" s="2478" t="str">
        <f>IF(TITLE_NUMBER_PR_CHANGE="",IF(TITLE_NUMBER_PR="","",TITLE_NUMBER_PR),TITLE_NUMBER_PR_CHANGE)</f>
        <v>27-2085</v>
      </c>
      <c r="AD33" s="2478"/>
      <c r="AE33" s="2478"/>
      <c r="AF33" s="2478"/>
      <c r="AG33" s="2478"/>
      <c r="AH33" s="2478"/>
      <c r="AI33" s="553"/>
      <c r="AJ33" s="4201" t="str">
        <f>IF(TITLE_NUMBER_PR_CHANGE="",IF(TITLE_NUMBER_PR="","",TITLE_NUMBER_PR),TITLE_NUMBER_PR_CHANGE)</f>
        <v>27-2085</v>
      </c>
      <c r="AK33" s="4201"/>
      <c r="AL33" s="4201"/>
      <c r="AM33" s="4201"/>
      <c r="AN33" s="4201"/>
      <c r="AO33" s="4201"/>
      <c r="AP33" s="4032"/>
      <c r="AQ33" s="4201" t="str">
        <f>IF(TITLE_NUMBER_PR_CHANGE="",IF(TITLE_NUMBER_PR="","",TITLE_NUMBER_PR),TITLE_NUMBER_PR_CHANGE)</f>
        <v>27-2085</v>
      </c>
      <c r="AR33" s="4201"/>
      <c r="AS33" s="4201"/>
      <c r="AT33" s="4201"/>
      <c r="AU33" s="4201"/>
      <c r="AV33" s="4201"/>
      <c r="AW33" s="4032"/>
      <c r="AX33" s="4201" t="str">
        <f>IF(TITLE_NUMBER_PR_CHANGE="",IF(TITLE_NUMBER_PR="","",TITLE_NUMBER_PR),TITLE_NUMBER_PR_CHANGE)</f>
        <v>27-2085</v>
      </c>
      <c r="AY33" s="4201"/>
      <c r="AZ33" s="4201"/>
      <c r="BA33" s="4201"/>
      <c r="BB33" s="4201"/>
      <c r="BC33" s="4201"/>
      <c r="BD33" s="4032"/>
      <c r="BE33" s="4201" t="str">
        <f>IF(TITLE_NUMBER_PR_CHANGE="",IF(TITLE_NUMBER_PR="","",TITLE_NUMBER_PR),TITLE_NUMBER_PR_CHANGE)</f>
        <v>27-2085</v>
      </c>
      <c r="BF33" s="4201"/>
      <c r="BG33" s="4201"/>
      <c r="BH33" s="4201"/>
      <c r="BI33" s="4201"/>
      <c r="BJ33" s="4201"/>
      <c r="BK33" s="4032"/>
      <c r="BL33" s="4201" t="str">
        <f>IF(TITLE_NUMBER_PR_CHANGE="",IF(TITLE_NUMBER_PR="","",TITLE_NUMBER_PR),TITLE_NUMBER_PR_CHANGE)</f>
        <v>27-2085</v>
      </c>
      <c r="BM33" s="4201"/>
      <c r="BN33" s="4201"/>
      <c r="BO33" s="4201"/>
      <c r="BP33" s="4201"/>
      <c r="BQ33" s="4201"/>
      <c r="BR33" s="4032"/>
      <c r="BS33" s="4201" t="str">
        <f>IF(TITLE_NUMBER_PR_CHANGE="",IF(TITLE_NUMBER_PR="","",TITLE_NUMBER_PR),TITLE_NUMBER_PR_CHANGE)</f>
        <v>27-2085</v>
      </c>
      <c r="BT33" s="4201"/>
      <c r="BU33" s="4201"/>
      <c r="BV33" s="4201"/>
      <c r="BW33" s="4201"/>
      <c r="BX33" s="4201"/>
      <c r="BY33" s="4032"/>
      <c r="BZ33" s="553"/>
      <c r="CA33" s="507"/>
      <c r="CB33" s="595"/>
      <c r="CC33" s="595"/>
      <c r="CD33" s="595"/>
      <c r="CE33" s="595"/>
      <c r="CF33" s="595"/>
      <c r="CG33" s="645">
        <v>0</v>
      </c>
    </row>
    <row s="13348"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J34" s="4032"/>
      <c r="AK34" s="4032"/>
      <c r="AL34" s="4032"/>
      <c r="AM34" s="4032"/>
      <c r="AN34" s="4032"/>
      <c r="AO34" s="4032"/>
      <c r="AP34" s="4204" t="s">
        <v>430</v>
      </c>
      <c r="AQ34" s="4032"/>
      <c r="AR34" s="4032"/>
      <c r="AS34" s="4032"/>
      <c r="AT34" s="4032"/>
      <c r="AU34" s="4032"/>
      <c r="AV34" s="4032"/>
      <c r="AW34" s="4204" t="s">
        <v>430</v>
      </c>
      <c r="AX34" s="4032"/>
      <c r="AY34" s="4032"/>
      <c r="AZ34" s="4032"/>
      <c r="BA34" s="4032"/>
      <c r="BB34" s="4032"/>
      <c r="BC34" s="4032"/>
      <c r="BD34" s="4204" t="s">
        <v>430</v>
      </c>
      <c r="BE34" s="4032"/>
      <c r="BF34" s="4032"/>
      <c r="BG34" s="4032"/>
      <c r="BH34" s="4032"/>
      <c r="BI34" s="4032"/>
      <c r="BJ34" s="4032"/>
      <c r="BK34" s="4204" t="s">
        <v>430</v>
      </c>
      <c r="BL34" s="4032"/>
      <c r="BM34" s="4032"/>
      <c r="BN34" s="4032"/>
      <c r="BO34" s="4032"/>
      <c r="BP34" s="4032"/>
      <c r="BQ34" s="4032"/>
      <c r="BR34" s="4204" t="s">
        <v>430</v>
      </c>
      <c r="BS34" s="4032"/>
      <c r="BT34" s="4032"/>
      <c r="BU34" s="4032"/>
      <c r="BV34" s="4032"/>
      <c r="BW34" s="4032"/>
      <c r="BX34" s="4032"/>
      <c r="BY34" s="4204" t="s">
        <v>430</v>
      </c>
      <c r="CB34" s="595"/>
      <c r="CC34" s="595"/>
      <c r="CD34" s="595"/>
      <c r="CE34" s="595"/>
      <c r="CF34" s="595"/>
      <c r="CG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4205" t="s">
        <v>491</v>
      </c>
      <c r="AK35" s="4205"/>
      <c r="AL35" s="4205"/>
      <c r="AM35" s="4205"/>
      <c r="AN35" s="4205"/>
      <c r="AO35" s="4205"/>
      <c r="AP35" s="4205"/>
      <c r="AQ35" s="4205" t="s">
        <v>491</v>
      </c>
      <c r="AR35" s="4205"/>
      <c r="AS35" s="4205"/>
      <c r="AT35" s="4205"/>
      <c r="AU35" s="4205"/>
      <c r="AV35" s="4205"/>
      <c r="AW35" s="4205"/>
      <c r="AX35" s="4205" t="s">
        <v>491</v>
      </c>
      <c r="AY35" s="4205"/>
      <c r="AZ35" s="4205"/>
      <c r="BA35" s="4205"/>
      <c r="BB35" s="4205"/>
      <c r="BC35" s="4205"/>
      <c r="BD35" s="4205"/>
      <c r="BE35" s="4205" t="s">
        <v>491</v>
      </c>
      <c r="BF35" s="4205"/>
      <c r="BG35" s="4205"/>
      <c r="BH35" s="4205"/>
      <c r="BI35" s="4205"/>
      <c r="BJ35" s="4205"/>
      <c r="BK35" s="4205"/>
      <c r="BL35" s="4205" t="s">
        <v>491</v>
      </c>
      <c r="BM35" s="4205"/>
      <c r="BN35" s="4205"/>
      <c r="BO35" s="4205"/>
      <c r="BP35" s="4205"/>
      <c r="BQ35" s="4205"/>
      <c r="BR35" s="4205"/>
      <c r="BS35" s="4205" t="s">
        <v>491</v>
      </c>
      <c r="BT35" s="4205"/>
      <c r="BU35" s="4205"/>
      <c r="BV35" s="4205"/>
      <c r="BW35" s="4205"/>
      <c r="BX35" s="4205"/>
      <c r="BY35" s="4205"/>
      <c r="CG35" s="1382">
        <v>14</v>
      </c>
    </row>
    <row customHeight="1" ht="15">
      <c r="Q36" s="603"/>
      <c r="R36" s="603"/>
      <c r="S36" s="2354" t="s">
        <v>305</v>
      </c>
      <c r="T36" s="2354"/>
      <c r="U36" s="2354"/>
      <c r="V36" s="2354"/>
      <c r="W36" s="2354"/>
      <c r="X36" s="2354"/>
      <c r="Y36" s="2354"/>
      <c r="Z36" s="2354"/>
      <c r="AA36" s="2354"/>
      <c r="AB36" s="2354"/>
      <c r="AC36" s="2354"/>
      <c r="AD36" s="2354"/>
      <c r="AE36" s="2354"/>
      <c r="AF36" s="2354"/>
      <c r="AG36" s="2354"/>
      <c r="AH36" s="2354"/>
      <c r="AI36" s="2354"/>
      <c r="AJ36" s="4206" t="s">
        <v>305</v>
      </c>
      <c r="AK36" s="4206"/>
      <c r="AL36" s="4206"/>
      <c r="AM36" s="4206"/>
      <c r="AN36" s="4206"/>
      <c r="AO36" s="4206"/>
      <c r="AP36" s="4206"/>
      <c r="AQ36" s="4206" t="s">
        <v>305</v>
      </c>
      <c r="AR36" s="4206"/>
      <c r="AS36" s="4206"/>
      <c r="AT36" s="4206"/>
      <c r="AU36" s="4206"/>
      <c r="AV36" s="4206"/>
      <c r="AW36" s="4206"/>
      <c r="AX36" s="4206" t="s">
        <v>305</v>
      </c>
      <c r="AY36" s="4206"/>
      <c r="AZ36" s="4206"/>
      <c r="BA36" s="4206"/>
      <c r="BB36" s="4206"/>
      <c r="BC36" s="4206"/>
      <c r="BD36" s="4206"/>
      <c r="BE36" s="4206" t="s">
        <v>305</v>
      </c>
      <c r="BF36" s="4206"/>
      <c r="BG36" s="4206"/>
      <c r="BH36" s="4206"/>
      <c r="BI36" s="4206"/>
      <c r="BJ36" s="4206"/>
      <c r="BK36" s="4206"/>
      <c r="BL36" s="4206" t="s">
        <v>305</v>
      </c>
      <c r="BM36" s="4206"/>
      <c r="BN36" s="4206"/>
      <c r="BO36" s="4206"/>
      <c r="BP36" s="4206"/>
      <c r="BQ36" s="4206"/>
      <c r="BR36" s="4206"/>
      <c r="BS36" s="4206" t="s">
        <v>305</v>
      </c>
      <c r="BT36" s="4206"/>
      <c r="BU36" s="4206"/>
      <c r="BV36" s="4206"/>
      <c r="BW36" s="4206"/>
      <c r="BX36" s="4206"/>
      <c r="BY36" s="4206"/>
      <c r="BZ36" s="2354"/>
      <c r="CA36" s="2354"/>
      <c r="CG36" s="1382"/>
    </row>
    <row customHeight="1" ht="14.699999999999998">
      <c r="Q37" s="603"/>
      <c r="R37" s="603"/>
      <c r="S37" s="2500" t="s">
        <v>88</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4207" t="s">
        <v>432</v>
      </c>
      <c r="AK37" s="4208"/>
      <c r="AL37" s="4208"/>
      <c r="AM37" s="4208"/>
      <c r="AN37" s="4208"/>
      <c r="AO37" s="4209"/>
      <c r="AP37" s="4210" t="s">
        <v>433</v>
      </c>
      <c r="AQ37" s="4207" t="s">
        <v>432</v>
      </c>
      <c r="AR37" s="4208"/>
      <c r="AS37" s="4208"/>
      <c r="AT37" s="4208"/>
      <c r="AU37" s="4208"/>
      <c r="AV37" s="4209"/>
      <c r="AW37" s="4210" t="s">
        <v>433</v>
      </c>
      <c r="AX37" s="4207" t="s">
        <v>432</v>
      </c>
      <c r="AY37" s="4208"/>
      <c r="AZ37" s="4208"/>
      <c r="BA37" s="4208"/>
      <c r="BB37" s="4208"/>
      <c r="BC37" s="4209"/>
      <c r="BD37" s="4210" t="s">
        <v>433</v>
      </c>
      <c r="BE37" s="4207" t="s">
        <v>432</v>
      </c>
      <c r="BF37" s="4208"/>
      <c r="BG37" s="4208"/>
      <c r="BH37" s="4208"/>
      <c r="BI37" s="4208"/>
      <c r="BJ37" s="4209"/>
      <c r="BK37" s="4210" t="s">
        <v>433</v>
      </c>
      <c r="BL37" s="4207" t="s">
        <v>432</v>
      </c>
      <c r="BM37" s="4208"/>
      <c r="BN37" s="4208"/>
      <c r="BO37" s="4208"/>
      <c r="BP37" s="4208"/>
      <c r="BQ37" s="4209"/>
      <c r="BR37" s="4210" t="s">
        <v>433</v>
      </c>
      <c r="BS37" s="4207" t="s">
        <v>432</v>
      </c>
      <c r="BT37" s="4208"/>
      <c r="BU37" s="4208"/>
      <c r="BV37" s="4208"/>
      <c r="BW37" s="4208"/>
      <c r="BX37" s="4209"/>
      <c r="BY37" s="4210" t="s">
        <v>433</v>
      </c>
      <c r="BZ37" s="2507" t="s">
        <v>435</v>
      </c>
      <c r="CA37" s="2354"/>
      <c r="CG37" s="1382">
        <v>14</v>
      </c>
    </row>
    <row customHeight="1" ht="35.699999999999996">
      <c r="Q38" s="603"/>
      <c r="R38" s="603"/>
      <c r="S38" s="2500"/>
      <c r="T38" s="2436"/>
      <c r="U38" s="1258"/>
      <c r="V38" s="1579" t="s">
        <v>492</v>
      </c>
      <c r="W38" s="2489" t="s">
        <v>438</v>
      </c>
      <c r="X38" s="2490"/>
      <c r="Y38" s="2489" t="s">
        <v>439</v>
      </c>
      <c r="Z38" s="2496"/>
      <c r="AA38" s="2490"/>
      <c r="AB38" s="2505"/>
      <c r="AC38" s="1579" t="s">
        <v>492</v>
      </c>
      <c r="AD38" s="2489" t="s">
        <v>438</v>
      </c>
      <c r="AE38" s="2490"/>
      <c r="AF38" s="2489" t="s">
        <v>439</v>
      </c>
      <c r="AG38" s="2496"/>
      <c r="AH38" s="2490"/>
      <c r="AI38" s="2505"/>
      <c r="AJ38" s="4212" t="s">
        <v>492</v>
      </c>
      <c r="AK38" s="4213" t="s">
        <v>438</v>
      </c>
      <c r="AL38" s="4214"/>
      <c r="AM38" s="4213" t="s">
        <v>439</v>
      </c>
      <c r="AN38" s="4215"/>
      <c r="AO38" s="4214"/>
      <c r="AP38" s="4216"/>
      <c r="AQ38" s="4212" t="s">
        <v>492</v>
      </c>
      <c r="AR38" s="4213" t="s">
        <v>438</v>
      </c>
      <c r="AS38" s="4214"/>
      <c r="AT38" s="4213" t="s">
        <v>439</v>
      </c>
      <c r="AU38" s="4215"/>
      <c r="AV38" s="4214"/>
      <c r="AW38" s="4216"/>
      <c r="AX38" s="4212" t="s">
        <v>492</v>
      </c>
      <c r="AY38" s="4213" t="s">
        <v>438</v>
      </c>
      <c r="AZ38" s="4214"/>
      <c r="BA38" s="4213" t="s">
        <v>439</v>
      </c>
      <c r="BB38" s="4215"/>
      <c r="BC38" s="4214"/>
      <c r="BD38" s="4216"/>
      <c r="BE38" s="4212" t="s">
        <v>492</v>
      </c>
      <c r="BF38" s="4213" t="s">
        <v>438</v>
      </c>
      <c r="BG38" s="4214"/>
      <c r="BH38" s="4213" t="s">
        <v>439</v>
      </c>
      <c r="BI38" s="4215"/>
      <c r="BJ38" s="4214"/>
      <c r="BK38" s="4216"/>
      <c r="BL38" s="4212" t="s">
        <v>492</v>
      </c>
      <c r="BM38" s="4213" t="s">
        <v>438</v>
      </c>
      <c r="BN38" s="4214"/>
      <c r="BO38" s="4213" t="s">
        <v>439</v>
      </c>
      <c r="BP38" s="4215"/>
      <c r="BQ38" s="4214"/>
      <c r="BR38" s="4216"/>
      <c r="BS38" s="4212" t="s">
        <v>492</v>
      </c>
      <c r="BT38" s="4213" t="s">
        <v>438</v>
      </c>
      <c r="BU38" s="4214"/>
      <c r="BV38" s="4213" t="s">
        <v>439</v>
      </c>
      <c r="BW38" s="4215"/>
      <c r="BX38" s="4214"/>
      <c r="BY38" s="4216"/>
      <c r="BZ38" s="2508"/>
      <c r="CA38" s="2354"/>
      <c r="CG38" s="1382">
        <v>34</v>
      </c>
    </row>
    <row customHeight="1" ht="35.699999999999996">
      <c r="A39" s="1597"/>
      <c r="B39" s="1597" t="s">
        <v>135</v>
      </c>
      <c r="C39" s="1597" t="s">
        <v>136</v>
      </c>
      <c r="D39" s="1597" t="s">
        <v>137</v>
      </c>
      <c r="E39" s="1591" t="s">
        <v>440</v>
      </c>
      <c r="F39" s="1591" t="s">
        <v>441</v>
      </c>
      <c r="G39" s="1591" t="s">
        <v>442</v>
      </c>
      <c r="H39" s="1591"/>
      <c r="I39" s="1591" t="s">
        <v>493</v>
      </c>
      <c r="J39" s="1591" t="s">
        <v>445</v>
      </c>
      <c r="K39" s="1591" t="s">
        <v>494</v>
      </c>
      <c r="L39" s="1591" t="s">
        <v>421</v>
      </c>
      <c r="Q39" s="603"/>
      <c r="R39" s="603"/>
      <c r="S39" s="2500"/>
      <c r="T39" s="2436"/>
      <c r="U39" s="529"/>
      <c r="V39" s="1579" t="s">
        <v>495</v>
      </c>
      <c r="W39" s="1449" t="s">
        <v>496</v>
      </c>
      <c r="X39" s="1449" t="s">
        <v>497</v>
      </c>
      <c r="Y39" s="1584" t="s">
        <v>449</v>
      </c>
      <c r="Z39" s="2497" t="s">
        <v>450</v>
      </c>
      <c r="AA39" s="2498"/>
      <c r="AB39" s="2506"/>
      <c r="AC39" s="1579" t="s">
        <v>495</v>
      </c>
      <c r="AD39" s="1449" t="s">
        <v>496</v>
      </c>
      <c r="AE39" s="1449" t="s">
        <v>497</v>
      </c>
      <c r="AF39" s="1584" t="s">
        <v>449</v>
      </c>
      <c r="AG39" s="2497" t="s">
        <v>450</v>
      </c>
      <c r="AH39" s="2498"/>
      <c r="AI39" s="2506"/>
      <c r="AJ39" s="4212" t="s">
        <v>495</v>
      </c>
      <c r="AK39" s="4218" t="s">
        <v>496</v>
      </c>
      <c r="AL39" s="4218" t="s">
        <v>497</v>
      </c>
      <c r="AM39" s="4218" t="s">
        <v>449</v>
      </c>
      <c r="AN39" s="4219" t="s">
        <v>450</v>
      </c>
      <c r="AO39" s="4220"/>
      <c r="AP39" s="4221"/>
      <c r="AQ39" s="4212" t="s">
        <v>495</v>
      </c>
      <c r="AR39" s="4218" t="s">
        <v>496</v>
      </c>
      <c r="AS39" s="4218" t="s">
        <v>497</v>
      </c>
      <c r="AT39" s="4218" t="s">
        <v>449</v>
      </c>
      <c r="AU39" s="4219" t="s">
        <v>450</v>
      </c>
      <c r="AV39" s="4220"/>
      <c r="AW39" s="4221"/>
      <c r="AX39" s="4212" t="s">
        <v>495</v>
      </c>
      <c r="AY39" s="4218" t="s">
        <v>496</v>
      </c>
      <c r="AZ39" s="4218" t="s">
        <v>497</v>
      </c>
      <c r="BA39" s="4218" t="s">
        <v>449</v>
      </c>
      <c r="BB39" s="4219" t="s">
        <v>450</v>
      </c>
      <c r="BC39" s="4220"/>
      <c r="BD39" s="4221"/>
      <c r="BE39" s="4212" t="s">
        <v>495</v>
      </c>
      <c r="BF39" s="4218" t="s">
        <v>496</v>
      </c>
      <c r="BG39" s="4218" t="s">
        <v>497</v>
      </c>
      <c r="BH39" s="4218" t="s">
        <v>449</v>
      </c>
      <c r="BI39" s="4219" t="s">
        <v>450</v>
      </c>
      <c r="BJ39" s="4220"/>
      <c r="BK39" s="4221"/>
      <c r="BL39" s="4212" t="s">
        <v>495</v>
      </c>
      <c r="BM39" s="4218" t="s">
        <v>496</v>
      </c>
      <c r="BN39" s="4218" t="s">
        <v>497</v>
      </c>
      <c r="BO39" s="4218" t="s">
        <v>449</v>
      </c>
      <c r="BP39" s="4219" t="s">
        <v>450</v>
      </c>
      <c r="BQ39" s="4220"/>
      <c r="BR39" s="4221"/>
      <c r="BS39" s="4212" t="s">
        <v>495</v>
      </c>
      <c r="BT39" s="4218" t="s">
        <v>496</v>
      </c>
      <c r="BU39" s="4218" t="s">
        <v>497</v>
      </c>
      <c r="BV39" s="4218" t="s">
        <v>449</v>
      </c>
      <c r="BW39" s="4219" t="s">
        <v>450</v>
      </c>
      <c r="BX39" s="4220"/>
      <c r="BY39" s="4221"/>
      <c r="BZ39" s="2509"/>
      <c r="CA39" s="2354"/>
      <c r="CG39" s="1382">
        <v>34</v>
      </c>
    </row>
    <row s="1382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4223">
        <f>OFFSET(AJ40,0,-1)+1</f>
        <v>15</v>
      </c>
      <c r="AK40" s="4223">
        <f>OFFSET(AK40,0,-1)+1</f>
        <v>16</v>
      </c>
      <c r="AL40" s="4223">
        <f>OFFSET(AL40,0,-1)+1</f>
        <v>17</v>
      </c>
      <c r="AM40" s="4223">
        <f>OFFSET(AM40,0,-1)+1</f>
        <v>18</v>
      </c>
      <c r="AN40" s="4223">
        <f>OFFSET(AN40,0,-1)+1</f>
        <v>19</v>
      </c>
      <c r="AO40" s="4223"/>
      <c r="AP40" s="4223">
        <f>OFFSET(AP40,0,-2)+1</f>
        <v>20</v>
      </c>
      <c r="AQ40" s="4223">
        <f>OFFSET(AQ40,0,-1)+1</f>
        <v>21</v>
      </c>
      <c r="AR40" s="4223">
        <f>OFFSET(AR40,0,-1)+1</f>
        <v>22</v>
      </c>
      <c r="AS40" s="4223">
        <f>OFFSET(AS40,0,-1)+1</f>
        <v>23</v>
      </c>
      <c r="AT40" s="4223">
        <f>OFFSET(AT40,0,-1)+1</f>
        <v>24</v>
      </c>
      <c r="AU40" s="4223">
        <f>OFFSET(AU40,0,-1)+1</f>
        <v>25</v>
      </c>
      <c r="AV40" s="4223"/>
      <c r="AW40" s="4223">
        <f>OFFSET(AW40,0,-2)+1</f>
        <v>26</v>
      </c>
      <c r="AX40" s="4223">
        <f>OFFSET(AX40,0,-1)+1</f>
        <v>27</v>
      </c>
      <c r="AY40" s="4223">
        <f>OFFSET(AY40,0,-1)+1</f>
        <v>28</v>
      </c>
      <c r="AZ40" s="4223">
        <f>OFFSET(AZ40,0,-1)+1</f>
        <v>29</v>
      </c>
      <c r="BA40" s="4223">
        <f>OFFSET(BA40,0,-1)+1</f>
        <v>30</v>
      </c>
      <c r="BB40" s="4223">
        <f>OFFSET(BB40,0,-1)+1</f>
        <v>31</v>
      </c>
      <c r="BC40" s="4223"/>
      <c r="BD40" s="4223">
        <f>OFFSET(BD40,0,-2)+1</f>
        <v>32</v>
      </c>
      <c r="BE40" s="4223">
        <f>OFFSET(BE40,0,-1)+1</f>
        <v>33</v>
      </c>
      <c r="BF40" s="4223">
        <f>OFFSET(BF40,0,-1)+1</f>
        <v>34</v>
      </c>
      <c r="BG40" s="4223">
        <f>OFFSET(BG40,0,-1)+1</f>
        <v>35</v>
      </c>
      <c r="BH40" s="4223">
        <f>OFFSET(BH40,0,-1)+1</f>
        <v>36</v>
      </c>
      <c r="BI40" s="4223">
        <f>OFFSET(BI40,0,-1)+1</f>
        <v>37</v>
      </c>
      <c r="BJ40" s="4223"/>
      <c r="BK40" s="4223">
        <f>OFFSET(BK40,0,-2)+1</f>
        <v>38</v>
      </c>
      <c r="BL40" s="4223">
        <f>OFFSET(BL40,0,-1)+1</f>
        <v>39</v>
      </c>
      <c r="BM40" s="4223">
        <f>OFFSET(BM40,0,-1)+1</f>
        <v>40</v>
      </c>
      <c r="BN40" s="4223">
        <f>OFFSET(BN40,0,-1)+1</f>
        <v>41</v>
      </c>
      <c r="BO40" s="4223">
        <f>OFFSET(BO40,0,-1)+1</f>
        <v>42</v>
      </c>
      <c r="BP40" s="4223">
        <f>OFFSET(BP40,0,-1)+1</f>
        <v>43</v>
      </c>
      <c r="BQ40" s="4223"/>
      <c r="BR40" s="4223">
        <f>OFFSET(BR40,0,-2)+1</f>
        <v>44</v>
      </c>
      <c r="BS40" s="4223">
        <f>OFFSET(BS40,0,-1)+1</f>
        <v>45</v>
      </c>
      <c r="BT40" s="4223">
        <f>OFFSET(BT40,0,-1)+1</f>
        <v>46</v>
      </c>
      <c r="BU40" s="4223">
        <f>OFFSET(BU40,0,-1)+1</f>
        <v>47</v>
      </c>
      <c r="BV40" s="4223">
        <f>OFFSET(BV40,0,-1)+1</f>
        <v>48</v>
      </c>
      <c r="BW40" s="4223">
        <f>OFFSET(BW40,0,-1)+1</f>
        <v>49</v>
      </c>
      <c r="BX40" s="4223"/>
      <c r="BY40" s="4223">
        <f>OFFSET(BY40,0,-2)+1</f>
        <v>50</v>
      </c>
      <c r="BZ40" s="1472">
        <f>OFFSET(BZ40,0,-1)</f>
        <v>50</v>
      </c>
      <c r="CA40" s="1580">
        <f>OFFSET(CA40,0,-1)+1</f>
        <v>51</v>
      </c>
      <c r="CB40" s="738"/>
      <c r="CC40" s="738"/>
      <c r="CD40" s="738"/>
      <c r="CE40" s="738"/>
      <c r="CF40" s="738"/>
      <c r="CG40" s="723">
        <v>0</v>
      </c>
    </row>
    <row customHeight="1" ht="24">
      <c r="A41" s="1590" t="s">
        <v>226</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1</v>
      </c>
      <c r="T41" s="525" t="s">
        <v>123</v>
      </c>
      <c r="U41" s="527"/>
      <c r="V41" s="2469"/>
      <c r="W41" s="2470"/>
      <c r="X41" s="2470"/>
      <c r="Y41" s="2470"/>
      <c r="Z41" s="2470"/>
      <c r="AA41" s="2470"/>
      <c r="AB41" s="2471"/>
      <c r="AC41" s="2469" t="str">
        <f>INDEX(PT_DIFFERENTIATION_NTAR,MATCH(A41,PT_DIFFERENTIATION_NTAR_ID,0))</f>
        <v>Тариф  на  холодную  воду  питьевую</v>
      </c>
      <c r="AD41" s="2470"/>
      <c r="AE41" s="2470"/>
      <c r="AF41" s="2470"/>
      <c r="AG41" s="2470"/>
      <c r="AH41" s="2470"/>
      <c r="AI41" s="2470"/>
      <c r="AJ41" s="4034"/>
      <c r="AK41" s="4035"/>
      <c r="AL41" s="4035"/>
      <c r="AM41" s="4035"/>
      <c r="AN41" s="4035"/>
      <c r="AO41" s="4035"/>
      <c r="AP41" s="4036"/>
      <c r="AQ41" s="4034"/>
      <c r="AR41" s="4035"/>
      <c r="AS41" s="4035"/>
      <c r="AT41" s="4035"/>
      <c r="AU41" s="4035"/>
      <c r="AV41" s="4035"/>
      <c r="AW41" s="4036"/>
      <c r="AX41" s="4034"/>
      <c r="AY41" s="4035"/>
      <c r="AZ41" s="4035"/>
      <c r="BA41" s="4035"/>
      <c r="BB41" s="4035"/>
      <c r="BC41" s="4035"/>
      <c r="BD41" s="4036"/>
      <c r="BE41" s="4034"/>
      <c r="BF41" s="4035"/>
      <c r="BG41" s="4035"/>
      <c r="BH41" s="4035"/>
      <c r="BI41" s="4035"/>
      <c r="BJ41" s="4035"/>
      <c r="BK41" s="4036"/>
      <c r="BL41" s="4034"/>
      <c r="BM41" s="4035"/>
      <c r="BN41" s="4035"/>
      <c r="BO41" s="4035"/>
      <c r="BP41" s="4035"/>
      <c r="BQ41" s="4035"/>
      <c r="BR41" s="4036"/>
      <c r="BS41" s="4034"/>
      <c r="BT41" s="4035"/>
      <c r="BU41" s="4035"/>
      <c r="BV41" s="4035"/>
      <c r="BW41" s="4035"/>
      <c r="BX41" s="4035"/>
      <c r="BY41" s="4036"/>
      <c r="BZ41" s="2471"/>
      <c r="CA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C41" s="727"/>
      <c r="CD41" s="727" t="str">
        <f>IF(T41="","",T41)</f>
        <v>Наименование тарифа</v>
      </c>
      <c r="CE41" s="727"/>
      <c r="CF41" s="727"/>
      <c r="CG41" s="1382">
        <v>23</v>
      </c>
    </row>
    <row customHeight="1" ht="24">
      <c r="A42" s="1590" t="s">
        <v>226</v>
      </c>
      <c r="B42" s="1590" t="s">
        <v>227</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1.1</v>
      </c>
      <c r="T42" s="535" t="s">
        <v>402</v>
      </c>
      <c r="U42" s="527"/>
      <c r="V42" s="2469"/>
      <c r="W42" s="2470"/>
      <c r="X42" s="2470"/>
      <c r="Y42" s="2470"/>
      <c r="Z42" s="2470"/>
      <c r="AA42" s="2470"/>
      <c r="AB42" s="2471"/>
      <c r="AC42" s="2469" t="str">
        <f>INDEX(PT_DIFFERENTIATION_TER,MATCH(B42,PT_DIFFERENTIATION_TER_ID,0))</f>
        <v>без дифференциации</v>
      </c>
      <c r="AD42" s="2470"/>
      <c r="AE42" s="2470"/>
      <c r="AF42" s="2470"/>
      <c r="AG42" s="2470"/>
      <c r="AH42" s="2470"/>
      <c r="AI42" s="2470"/>
      <c r="AJ42" s="4034"/>
      <c r="AK42" s="4035"/>
      <c r="AL42" s="4035"/>
      <c r="AM42" s="4035"/>
      <c r="AN42" s="4035"/>
      <c r="AO42" s="4035"/>
      <c r="AP42" s="4036"/>
      <c r="AQ42" s="4034"/>
      <c r="AR42" s="4035"/>
      <c r="AS42" s="4035"/>
      <c r="AT42" s="4035"/>
      <c r="AU42" s="4035"/>
      <c r="AV42" s="4035"/>
      <c r="AW42" s="4036"/>
      <c r="AX42" s="4034"/>
      <c r="AY42" s="4035"/>
      <c r="AZ42" s="4035"/>
      <c r="BA42" s="4035"/>
      <c r="BB42" s="4035"/>
      <c r="BC42" s="4035"/>
      <c r="BD42" s="4036"/>
      <c r="BE42" s="4034"/>
      <c r="BF42" s="4035"/>
      <c r="BG42" s="4035"/>
      <c r="BH42" s="4035"/>
      <c r="BI42" s="4035"/>
      <c r="BJ42" s="4035"/>
      <c r="BK42" s="4036"/>
      <c r="BL42" s="4034"/>
      <c r="BM42" s="4035"/>
      <c r="BN42" s="4035"/>
      <c r="BO42" s="4035"/>
      <c r="BP42" s="4035"/>
      <c r="BQ42" s="4035"/>
      <c r="BR42" s="4036"/>
      <c r="BS42" s="4034"/>
      <c r="BT42" s="4035"/>
      <c r="BU42" s="4035"/>
      <c r="BV42" s="4035"/>
      <c r="BW42" s="4035"/>
      <c r="BX42" s="4035"/>
      <c r="BY42" s="4036"/>
      <c r="BZ42" s="2471"/>
      <c r="CA42" s="1485" t="s">
        <v>403</v>
      </c>
      <c r="CC42" s="727"/>
      <c r="CD42" s="727" t="str">
        <f>IF(T42="","",T42)</f>
        <v>Территория действия тарифа</v>
      </c>
      <c r="CE42" s="727"/>
      <c r="CF42" s="727"/>
      <c r="CG42" s="1382">
        <v>23</v>
      </c>
    </row>
    <row customHeight="1" ht="24">
      <c r="A43" s="1590" t="s">
        <v>226</v>
      </c>
      <c r="B43" s="1590" t="s">
        <v>227</v>
      </c>
      <c r="C43" s="1590" t="s">
        <v>228</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1.1.1</v>
      </c>
      <c r="T43" s="536" t="s">
        <v>483</v>
      </c>
      <c r="U43" s="527"/>
      <c r="V43" s="2469"/>
      <c r="W43" s="2470"/>
      <c r="X43" s="2470"/>
      <c r="Y43" s="2470"/>
      <c r="Z43" s="2470"/>
      <c r="AA43" s="2470"/>
      <c r="AB43" s="2471"/>
      <c r="AC43" s="2469" t="str">
        <f>INDEX(PT_DIFFERENTIATION_CS,MATCH(C43,PT_DIFFERENTIATION_CS_ID,0))</f>
        <v>без дифференциации</v>
      </c>
      <c r="AD43" s="2470"/>
      <c r="AE43" s="2470"/>
      <c r="AF43" s="2470"/>
      <c r="AG43" s="2470"/>
      <c r="AH43" s="2470"/>
      <c r="AI43" s="2470"/>
      <c r="AJ43" s="4034"/>
      <c r="AK43" s="4035"/>
      <c r="AL43" s="4035"/>
      <c r="AM43" s="4035"/>
      <c r="AN43" s="4035"/>
      <c r="AO43" s="4035"/>
      <c r="AP43" s="4036"/>
      <c r="AQ43" s="4034"/>
      <c r="AR43" s="4035"/>
      <c r="AS43" s="4035"/>
      <c r="AT43" s="4035"/>
      <c r="AU43" s="4035"/>
      <c r="AV43" s="4035"/>
      <c r="AW43" s="4036"/>
      <c r="AX43" s="4034"/>
      <c r="AY43" s="4035"/>
      <c r="AZ43" s="4035"/>
      <c r="BA43" s="4035"/>
      <c r="BB43" s="4035"/>
      <c r="BC43" s="4035"/>
      <c r="BD43" s="4036"/>
      <c r="BE43" s="4034"/>
      <c r="BF43" s="4035"/>
      <c r="BG43" s="4035"/>
      <c r="BH43" s="4035"/>
      <c r="BI43" s="4035"/>
      <c r="BJ43" s="4035"/>
      <c r="BK43" s="4036"/>
      <c r="BL43" s="4034"/>
      <c r="BM43" s="4035"/>
      <c r="BN43" s="4035"/>
      <c r="BO43" s="4035"/>
      <c r="BP43" s="4035"/>
      <c r="BQ43" s="4035"/>
      <c r="BR43" s="4036"/>
      <c r="BS43" s="4034"/>
      <c r="BT43" s="4035"/>
      <c r="BU43" s="4035"/>
      <c r="BV43" s="4035"/>
      <c r="BW43" s="4035"/>
      <c r="BX43" s="4035"/>
      <c r="BY43" s="4036"/>
      <c r="BZ43" s="2471"/>
      <c r="CA43" s="1485" t="s">
        <v>484</v>
      </c>
      <c r="CC43" s="727"/>
      <c r="CD43" s="727" t="str">
        <f>IF(T43="","",T43)</f>
        <v>Наименование централизованной системы холодного водоснабжения</v>
      </c>
      <c r="CE43" s="727"/>
      <c r="CF43" s="727"/>
      <c r="CG43" s="1382">
        <v>23</v>
      </c>
    </row>
    <row customHeight="1" ht="24">
      <c r="A44" s="1590" t="s">
        <v>226</v>
      </c>
      <c r="B44" s="1590" t="s">
        <v>227</v>
      </c>
      <c r="C44" s="1590" t="s">
        <v>228</v>
      </c>
      <c r="D44" s="1590" t="s">
        <v>498</v>
      </c>
      <c r="E44" s="2486"/>
      <c r="F44" s="2486"/>
      <c r="G44" s="2486"/>
      <c r="H44" s="2486"/>
      <c r="I44" s="2483" t="str">
        <f>S43&amp;".1"</f>
        <v>1.1.1.1</v>
      </c>
      <c r="J44" s="1590"/>
      <c r="K44" s="1590"/>
      <c r="L44" s="1591"/>
      <c r="P44" s="2484">
        <v>1</v>
      </c>
      <c r="Q44" s="1581"/>
      <c r="R44" s="583"/>
      <c r="S44" s="1585" t="str">
        <f>$I44</f>
        <v>1.1.1.1</v>
      </c>
      <c r="T44" s="512" t="s">
        <v>485</v>
      </c>
      <c r="U44" s="527"/>
      <c r="V44" s="2577"/>
      <c r="W44" s="2578"/>
      <c r="X44" s="2578"/>
      <c r="Y44" s="2578"/>
      <c r="Z44" s="2578"/>
      <c r="AA44" s="2578"/>
      <c r="AB44" s="2579"/>
      <c r="AC44" s="2580" t="s">
        <v>499</v>
      </c>
      <c r="AD44" s="2581"/>
      <c r="AE44" s="2581"/>
      <c r="AF44" s="2581"/>
      <c r="AG44" s="2581"/>
      <c r="AH44" s="2581"/>
      <c r="AI44" s="2581"/>
      <c r="AJ44" s="4044"/>
      <c r="AK44" s="4045"/>
      <c r="AL44" s="4045"/>
      <c r="AM44" s="4045"/>
      <c r="AN44" s="4045"/>
      <c r="AO44" s="4045"/>
      <c r="AP44" s="4046"/>
      <c r="AQ44" s="4044"/>
      <c r="AR44" s="4045"/>
      <c r="AS44" s="4045"/>
      <c r="AT44" s="4045"/>
      <c r="AU44" s="4045"/>
      <c r="AV44" s="4045"/>
      <c r="AW44" s="4046"/>
      <c r="AX44" s="4044"/>
      <c r="AY44" s="4045"/>
      <c r="AZ44" s="4045"/>
      <c r="BA44" s="4045"/>
      <c r="BB44" s="4045"/>
      <c r="BC44" s="4045"/>
      <c r="BD44" s="4046"/>
      <c r="BE44" s="4044"/>
      <c r="BF44" s="4045"/>
      <c r="BG44" s="4045"/>
      <c r="BH44" s="4045"/>
      <c r="BI44" s="4045"/>
      <c r="BJ44" s="4045"/>
      <c r="BK44" s="4046"/>
      <c r="BL44" s="4044"/>
      <c r="BM44" s="4045"/>
      <c r="BN44" s="4045"/>
      <c r="BO44" s="4045"/>
      <c r="BP44" s="4045"/>
      <c r="BQ44" s="4045"/>
      <c r="BR44" s="4046"/>
      <c r="BS44" s="4044"/>
      <c r="BT44" s="4045"/>
      <c r="BU44" s="4045"/>
      <c r="BV44" s="4045"/>
      <c r="BW44" s="4045"/>
      <c r="BX44" s="4045"/>
      <c r="BY44" s="4046"/>
      <c r="BZ44" s="2582"/>
      <c r="CA44" s="1485" t="s">
        <v>486</v>
      </c>
      <c r="CC44" s="727"/>
      <c r="CD44" s="727" t="str">
        <f>IF(T44="","",T44)</f>
        <v>Наименование признака дифференциации</v>
      </c>
      <c r="CE44" s="727"/>
      <c r="CF44" s="727"/>
      <c r="CG44" s="1382">
        <v>23</v>
      </c>
    </row>
    <row customHeight="1" ht="24">
      <c r="A45" s="1590" t="s">
        <v>226</v>
      </c>
      <c r="B45" s="1590" t="s">
        <v>227</v>
      </c>
      <c r="C45" s="1590" t="s">
        <v>228</v>
      </c>
      <c r="D45" s="1590" t="s">
        <v>498</v>
      </c>
      <c r="E45" s="2486"/>
      <c r="F45" s="2486"/>
      <c r="G45" s="2486"/>
      <c r="H45" s="2486"/>
      <c r="I45" s="2513"/>
      <c r="J45" s="2483" t="str">
        <f>I44&amp;".1"</f>
        <v>1.1.1.1.1</v>
      </c>
      <c r="K45" s="1590"/>
      <c r="L45" s="1591" t="s">
        <v>411</v>
      </c>
      <c r="P45" s="2484"/>
      <c r="Q45" s="2484">
        <v>1</v>
      </c>
      <c r="R45" s="584"/>
      <c r="S45" s="1585" t="str">
        <f>$J45</f>
        <v>1.1.1.1.1</v>
      </c>
      <c r="T45" s="513" t="s">
        <v>412</v>
      </c>
      <c r="U45" s="527"/>
      <c r="V45" s="2472"/>
      <c r="W45" s="2473"/>
      <c r="X45" s="2473"/>
      <c r="Y45" s="2473"/>
      <c r="Z45" s="2473"/>
      <c r="AA45" s="2473"/>
      <c r="AB45" s="2474"/>
      <c r="AC45" s="2472" t="s">
        <v>500</v>
      </c>
      <c r="AD45" s="2473"/>
      <c r="AE45" s="2473"/>
      <c r="AF45" s="2473"/>
      <c r="AG45" s="2473"/>
      <c r="AH45" s="2473"/>
      <c r="AI45" s="2473"/>
      <c r="AJ45" s="4048"/>
      <c r="AK45" s="4049"/>
      <c r="AL45" s="4049"/>
      <c r="AM45" s="4049"/>
      <c r="AN45" s="4049"/>
      <c r="AO45" s="4049"/>
      <c r="AP45" s="4050"/>
      <c r="AQ45" s="4048"/>
      <c r="AR45" s="4049"/>
      <c r="AS45" s="4049"/>
      <c r="AT45" s="4049"/>
      <c r="AU45" s="4049"/>
      <c r="AV45" s="4049"/>
      <c r="AW45" s="4050"/>
      <c r="AX45" s="4048"/>
      <c r="AY45" s="4049"/>
      <c r="AZ45" s="4049"/>
      <c r="BA45" s="4049"/>
      <c r="BB45" s="4049"/>
      <c r="BC45" s="4049"/>
      <c r="BD45" s="4050"/>
      <c r="BE45" s="4048"/>
      <c r="BF45" s="4049"/>
      <c r="BG45" s="4049"/>
      <c r="BH45" s="4049"/>
      <c r="BI45" s="4049"/>
      <c r="BJ45" s="4049"/>
      <c r="BK45" s="4050"/>
      <c r="BL45" s="4048"/>
      <c r="BM45" s="4049"/>
      <c r="BN45" s="4049"/>
      <c r="BO45" s="4049"/>
      <c r="BP45" s="4049"/>
      <c r="BQ45" s="4049"/>
      <c r="BR45" s="4050"/>
      <c r="BS45" s="4048"/>
      <c r="BT45" s="4049"/>
      <c r="BU45" s="4049"/>
      <c r="BV45" s="4049"/>
      <c r="BW45" s="4049"/>
      <c r="BX45" s="4049"/>
      <c r="BY45" s="4050"/>
      <c r="BZ45" s="2474"/>
      <c r="CA45" s="1534" t="s">
        <v>487</v>
      </c>
      <c r="CC45" s="727"/>
      <c r="CD45" s="727" t="str">
        <f>IF(T45="","",T45)</f>
        <v>Группа потребителей</v>
      </c>
      <c r="CE45" s="727"/>
      <c r="CF45" s="727"/>
      <c r="CG45" s="1382">
        <v>23</v>
      </c>
    </row>
    <row customHeight="1" ht="24">
      <c r="A46" s="1590" t="s">
        <v>226</v>
      </c>
      <c r="B46" s="1590" t="s">
        <v>227</v>
      </c>
      <c r="C46" s="1590" t="s">
        <v>228</v>
      </c>
      <c r="D46" s="1590" t="s">
        <v>498</v>
      </c>
      <c r="E46" s="2486"/>
      <c r="F46" s="2486"/>
      <c r="G46" s="2486"/>
      <c r="H46" s="2486"/>
      <c r="I46" s="2513"/>
      <c r="J46" s="2513"/>
      <c r="K46" s="2483" t="str">
        <f>J45&amp;".1"</f>
        <v>1.1.1.1.1.1</v>
      </c>
      <c r="L46" s="1591"/>
      <c r="P46" s="2484"/>
      <c r="Q46" s="2484"/>
      <c r="R46" s="584">
        <v>1</v>
      </c>
      <c r="S46" s="1585" t="str">
        <f>$K46</f>
        <v>1.1.1.1.1.1</v>
      </c>
      <c r="T46" s="1664" t="s">
        <v>501</v>
      </c>
      <c r="U46" s="527"/>
      <c r="V46" s="4052"/>
      <c r="W46" s="4052"/>
      <c r="X46" s="4053"/>
      <c r="Y46" s="4054"/>
      <c r="Z46" s="4055" t="s">
        <v>66</v>
      </c>
      <c r="AA46" s="4227"/>
      <c r="AB46" s="4055" t="s">
        <v>66</v>
      </c>
      <c r="AC46" s="978">
        <v>43.87</v>
      </c>
      <c r="AD46" s="978"/>
      <c r="AE46" s="1484"/>
      <c r="AF46" s="4054">
        <v>45292</v>
      </c>
      <c r="AG46" s="2334" t="s">
        <v>66</v>
      </c>
      <c r="AH46" s="4227">
        <v>45473</v>
      </c>
      <c r="AI46" s="2334" t="s">
        <v>66</v>
      </c>
      <c r="AJ46" s="4052">
        <v>50.45</v>
      </c>
      <c r="AK46" s="4052"/>
      <c r="AL46" s="4053"/>
      <c r="AM46" s="4054">
        <v>45474</v>
      </c>
      <c r="AN46" s="4055" t="s">
        <v>66</v>
      </c>
      <c r="AO46" s="4227">
        <v>45838</v>
      </c>
      <c r="AP46" s="4055" t="s">
        <v>66</v>
      </c>
      <c r="AQ46" s="4052">
        <v>96.66</v>
      </c>
      <c r="AR46" s="4052"/>
      <c r="AS46" s="4053"/>
      <c r="AT46" s="4054">
        <v>45839</v>
      </c>
      <c r="AU46" s="4055" t="s">
        <v>66</v>
      </c>
      <c r="AV46" s="4227">
        <v>46022</v>
      </c>
      <c r="AW46" s="4055" t="s">
        <v>66</v>
      </c>
      <c r="AX46" s="4052">
        <v>50.81</v>
      </c>
      <c r="AY46" s="4052"/>
      <c r="AZ46" s="4053"/>
      <c r="BA46" s="4054">
        <v>46023</v>
      </c>
      <c r="BB46" s="4055" t="s">
        <v>66</v>
      </c>
      <c r="BC46" s="4227">
        <v>46203</v>
      </c>
      <c r="BD46" s="4055" t="s">
        <v>66</v>
      </c>
      <c r="BE46" s="4052">
        <v>51.8</v>
      </c>
      <c r="BF46" s="4052"/>
      <c r="BG46" s="4053"/>
      <c r="BH46" s="4054">
        <v>46204</v>
      </c>
      <c r="BI46" s="4055" t="s">
        <v>66</v>
      </c>
      <c r="BJ46" s="4227">
        <v>46568</v>
      </c>
      <c r="BK46" s="4055" t="s">
        <v>66</v>
      </c>
      <c r="BL46" s="4052">
        <v>53.78</v>
      </c>
      <c r="BM46" s="4052"/>
      <c r="BN46" s="4053"/>
      <c r="BO46" s="4054">
        <v>46569</v>
      </c>
      <c r="BP46" s="4055" t="s">
        <v>66</v>
      </c>
      <c r="BQ46" s="4227">
        <v>46934</v>
      </c>
      <c r="BR46" s="4055" t="s">
        <v>66</v>
      </c>
      <c r="BS46" s="4052">
        <v>54.88</v>
      </c>
      <c r="BT46" s="4052"/>
      <c r="BU46" s="4053"/>
      <c r="BV46" s="4054">
        <v>46935</v>
      </c>
      <c r="BW46" s="4055" t="s">
        <v>66</v>
      </c>
      <c r="BX46" s="4227">
        <v>47118</v>
      </c>
      <c r="BY46" s="4055" t="s">
        <v>66</v>
      </c>
      <c r="BZ46" s="1665"/>
      <c r="CA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46" s="738">
        <f>STRCHECKDATE(V47:BZ47)</f>
      </c>
      <c r="CC46" s="727"/>
      <c r="CD46" s="727" t="str">
        <f>IF(T46="","",T46)</f>
        <v>Население  ( с учетом НДС 20%)</v>
      </c>
      <c r="CE46" s="727"/>
      <c r="CF46" s="727"/>
      <c r="CG46" s="1382">
        <v>23</v>
      </c>
    </row>
    <row customHeight="1" ht="0">
      <c r="A47" s="1590" t="s">
        <v>226</v>
      </c>
      <c r="B47" s="1590" t="s">
        <v>227</v>
      </c>
      <c r="C47" s="1590" t="s">
        <v>228</v>
      </c>
      <c r="D47" s="1590" t="s">
        <v>498</v>
      </c>
      <c r="E47" s="2486"/>
      <c r="F47" s="2486"/>
      <c r="G47" s="2486"/>
      <c r="H47" s="2486"/>
      <c r="I47" s="2513"/>
      <c r="J47" s="2513"/>
      <c r="K47" s="2483"/>
      <c r="L47" s="1591"/>
      <c r="P47" s="2484"/>
      <c r="Q47" s="2484"/>
      <c r="R47" s="584"/>
      <c r="S47" s="1586"/>
      <c r="T47" s="527"/>
      <c r="U47" s="527"/>
      <c r="V47" s="4059"/>
      <c r="W47" s="4059"/>
      <c r="X47" s="4060" t="str">
        <f>Y46&amp;"-"&amp;AA46</f>
        <v>-</v>
      </c>
      <c r="Y47" s="4061"/>
      <c r="Z47" s="4055"/>
      <c r="AA47" s="4229"/>
      <c r="AB47" s="4055"/>
      <c r="AC47" s="552"/>
      <c r="AD47" s="552"/>
      <c r="AE47" s="555" t="str">
        <f>AF46&amp;"-"&amp;AH46</f>
        <v>45292-45473</v>
      </c>
      <c r="AF47" s="2493"/>
      <c r="AG47" s="2334"/>
      <c r="AH47" s="2515"/>
      <c r="AI47" s="2334"/>
      <c r="AJ47" s="4059"/>
      <c r="AK47" s="4059"/>
      <c r="AL47" s="4060" t="str">
        <f>AM46&amp;"-"&amp;AO46</f>
        <v>45474-45838</v>
      </c>
      <c r="AM47" s="4061"/>
      <c r="AN47" s="4055"/>
      <c r="AO47" s="4229"/>
      <c r="AP47" s="4055"/>
      <c r="AQ47" s="4059"/>
      <c r="AR47" s="4059"/>
      <c r="AS47" s="4060" t="str">
        <f>AT46&amp;"-"&amp;AV46</f>
        <v>45839-46022</v>
      </c>
      <c r="AT47" s="4061"/>
      <c r="AU47" s="4055"/>
      <c r="AV47" s="4229"/>
      <c r="AW47" s="4055"/>
      <c r="AX47" s="4059"/>
      <c r="AY47" s="4059"/>
      <c r="AZ47" s="4060" t="str">
        <f>BA46&amp;"-"&amp;BC46</f>
        <v>46023-46203</v>
      </c>
      <c r="BA47" s="4061"/>
      <c r="BB47" s="4055"/>
      <c r="BC47" s="4229"/>
      <c r="BD47" s="4055"/>
      <c r="BE47" s="4059"/>
      <c r="BF47" s="4059"/>
      <c r="BG47" s="4060" t="str">
        <f>BH46&amp;"-"&amp;BJ46</f>
        <v>46204-46568</v>
      </c>
      <c r="BH47" s="4061"/>
      <c r="BI47" s="4055"/>
      <c r="BJ47" s="4229"/>
      <c r="BK47" s="4055"/>
      <c r="BL47" s="4059"/>
      <c r="BM47" s="4059"/>
      <c r="BN47" s="4060" t="str">
        <f>BO46&amp;"-"&amp;BQ46</f>
        <v>46569-46934</v>
      </c>
      <c r="BO47" s="4061"/>
      <c r="BP47" s="4055"/>
      <c r="BQ47" s="4229"/>
      <c r="BR47" s="4055"/>
      <c r="BS47" s="4059"/>
      <c r="BT47" s="4059"/>
      <c r="BU47" s="4060" t="str">
        <f>BV46&amp;"-"&amp;BX46</f>
        <v>46935-47118</v>
      </c>
      <c r="BV47" s="4061"/>
      <c r="BW47" s="4055"/>
      <c r="BX47" s="4229"/>
      <c r="BY47" s="4055"/>
      <c r="BZ47" s="1666"/>
      <c r="CA47" s="2576"/>
      <c r="CC47" s="727"/>
      <c r="CD47" s="727" t="str">
        <f>IF(T47="","",T47)</f>
        <v/>
      </c>
      <c r="CE47" s="727"/>
      <c r="CF47" s="727"/>
      <c r="CG47" s="1382">
        <v>0</v>
      </c>
    </row>
    <row customHeight="1" ht="21">
      <c r="A48" s="1590" t="s">
        <v>226</v>
      </c>
      <c r="B48" s="1590" t="s">
        <v>227</v>
      </c>
      <c r="C48" s="1590" t="s">
        <v>228</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4230"/>
      <c r="AK48" s="4231"/>
      <c r="AL48" s="4232"/>
      <c r="AM48" s="4233"/>
      <c r="AN48" s="4234"/>
      <c r="AO48" s="4235"/>
      <c r="AP48" s="4236"/>
      <c r="AQ48" s="4237"/>
      <c r="AR48" s="4238"/>
      <c r="AS48" s="4239"/>
      <c r="AT48" s="4240"/>
      <c r="AU48" s="4241"/>
      <c r="AV48" s="4242"/>
      <c r="AW48" s="4243"/>
      <c r="AX48" s="4244"/>
      <c r="AY48" s="4245"/>
      <c r="AZ48" s="4246"/>
      <c r="BA48" s="4247"/>
      <c r="BB48" s="4248"/>
      <c r="BC48" s="4249"/>
      <c r="BD48" s="4250"/>
      <c r="BE48" s="4251"/>
      <c r="BF48" s="4252"/>
      <c r="BG48" s="4253"/>
      <c r="BH48" s="4254"/>
      <c r="BI48" s="4255"/>
      <c r="BJ48" s="4256"/>
      <c r="BK48" s="4257"/>
      <c r="BL48" s="4258"/>
      <c r="BM48" s="4259"/>
      <c r="BN48" s="4260"/>
      <c r="BO48" s="4261"/>
      <c r="BP48" s="4262"/>
      <c r="BQ48" s="4263"/>
      <c r="BR48" s="4264"/>
      <c r="BS48" s="4265"/>
      <c r="BT48" s="4266"/>
      <c r="BU48" s="4267"/>
      <c r="BV48" s="4268"/>
      <c r="BW48" s="4269"/>
      <c r="BX48" s="4270"/>
      <c r="BY48" s="4271"/>
      <c r="BZ48" s="594"/>
      <c r="CA48" s="1485" t="s">
        <v>489</v>
      </c>
      <c r="CC48" s="727"/>
      <c r="CD48" s="727" t="str">
        <f>IF(T48="","",T48)</f>
        <v>Добавить значение признака дифференциации</v>
      </c>
      <c r="CE48" s="727"/>
      <c r="CF48" s="727"/>
      <c r="CG48" s="1382">
        <v>20</v>
      </c>
    </row>
    <row s="14499" customFormat="1" customHeight="1" ht="23.25">
      <c r="A49" s="4273"/>
      <c r="B49" s="4273"/>
      <c r="C49" s="4273"/>
      <c r="D49" s="4273"/>
      <c r="E49" s="4274"/>
      <c r="F49" s="4274"/>
      <c r="G49" s="4274"/>
      <c r="H49" s="4274"/>
      <c r="I49" s="4275"/>
      <c r="J49" s="4276" t="str">
        <f>I44&amp;".2"</f>
        <v>1.1.1.1.2</v>
      </c>
      <c r="K49" s="4273"/>
      <c r="L49" s="4277" t="s">
        <v>411</v>
      </c>
      <c r="M49" s="4278"/>
      <c r="N49" s="4278"/>
      <c r="O49" s="4278"/>
      <c r="P49" s="4279"/>
      <c r="Q49" s="4280" t="s">
        <v>491</v>
      </c>
      <c r="R49" s="4281"/>
      <c r="S49" s="4282" t="str">
        <f>$J49</f>
        <v>1.1.1.1.2</v>
      </c>
      <c r="T49" s="4283" t="s">
        <v>412</v>
      </c>
      <c r="U49" s="4284"/>
      <c r="V49" s="4048"/>
      <c r="W49" s="4049"/>
      <c r="X49" s="4049"/>
      <c r="Y49" s="4049"/>
      <c r="Z49" s="4049"/>
      <c r="AA49" s="4049"/>
      <c r="AB49" s="4050"/>
      <c r="AC49" s="4048" t="s">
        <v>502</v>
      </c>
      <c r="AD49" s="4049"/>
      <c r="AE49" s="4049"/>
      <c r="AF49" s="4049"/>
      <c r="AG49" s="4049"/>
      <c r="AH49" s="4049"/>
      <c r="AI49" s="4049"/>
      <c r="AJ49" s="4048"/>
      <c r="AK49" s="4049"/>
      <c r="AL49" s="4049"/>
      <c r="AM49" s="4049"/>
      <c r="AN49" s="4049"/>
      <c r="AO49" s="4049"/>
      <c r="AP49" s="4050"/>
      <c r="AQ49" s="4048"/>
      <c r="AR49" s="4049"/>
      <c r="AS49" s="4049"/>
      <c r="AT49" s="4049"/>
      <c r="AU49" s="4049"/>
      <c r="AV49" s="4049"/>
      <c r="AW49" s="4050"/>
      <c r="AX49" s="4048"/>
      <c r="AY49" s="4049"/>
      <c r="AZ49" s="4049"/>
      <c r="BA49" s="4049"/>
      <c r="BB49" s="4049"/>
      <c r="BC49" s="4049"/>
      <c r="BD49" s="4050"/>
      <c r="BE49" s="4048"/>
      <c r="BF49" s="4049"/>
      <c r="BG49" s="4049"/>
      <c r="BH49" s="4049"/>
      <c r="BI49" s="4049"/>
      <c r="BJ49" s="4049"/>
      <c r="BK49" s="4050"/>
      <c r="BL49" s="4048"/>
      <c r="BM49" s="4049"/>
      <c r="BN49" s="4049"/>
      <c r="BO49" s="4049"/>
      <c r="BP49" s="4049"/>
      <c r="BQ49" s="4049"/>
      <c r="BR49" s="4050"/>
      <c r="BS49" s="4048"/>
      <c r="BT49" s="4049"/>
      <c r="BU49" s="4049"/>
      <c r="BV49" s="4049"/>
      <c r="BW49" s="4049"/>
      <c r="BX49" s="4049"/>
      <c r="BY49" s="4050"/>
      <c r="BZ49" s="4050"/>
      <c r="CA49" s="4285" t="s">
        <v>487</v>
      </c>
      <c r="CB49" s="4204"/>
      <c r="CC49" s="4286"/>
      <c r="CD49" s="4286" t="str">
        <f>IF(T49="","",T49)</f>
        <v>Группа потребителей</v>
      </c>
      <c r="CE49" s="4286"/>
      <c r="CF49" s="4286"/>
      <c r="CG49" s="4032">
        <v>0</v>
      </c>
    </row>
    <row s="14514" customFormat="1" customHeight="1" ht="23.25">
      <c r="A50" s="4273"/>
      <c r="B50" s="4273"/>
      <c r="C50" s="4273"/>
      <c r="D50" s="4273"/>
      <c r="E50" s="4274"/>
      <c r="F50" s="4274"/>
      <c r="G50" s="4274"/>
      <c r="H50" s="4274"/>
      <c r="I50" s="4275"/>
      <c r="J50" s="4275" t="str">
        <f>I44&amp;".1"</f>
        <v>1.1.1.1.1</v>
      </c>
      <c r="K50" s="4276" t="str">
        <f>J49&amp;".1"</f>
        <v>1.1.1.1.2.1</v>
      </c>
      <c r="L50" s="4277"/>
      <c r="M50" s="4278"/>
      <c r="N50" s="4278"/>
      <c r="O50" s="4278"/>
      <c r="P50" s="4279"/>
      <c r="Q50" s="4279"/>
      <c r="R50" s="4281">
        <v>1</v>
      </c>
      <c r="S50" s="4282" t="str">
        <f>$K50</f>
        <v>1.1.1.1.2.1</v>
      </c>
      <c r="T50" s="4288" t="s">
        <v>503</v>
      </c>
      <c r="U50" s="4284"/>
      <c r="V50" s="4052"/>
      <c r="W50" s="4052"/>
      <c r="X50" s="4053"/>
      <c r="Y50" s="4054"/>
      <c r="Z50" s="4055" t="s">
        <v>66</v>
      </c>
      <c r="AA50" s="4054"/>
      <c r="AB50" s="4055" t="s">
        <v>66</v>
      </c>
      <c r="AC50" s="4052">
        <v>36.56</v>
      </c>
      <c r="AD50" s="4052"/>
      <c r="AE50" s="4053"/>
      <c r="AF50" s="4054">
        <v>45292</v>
      </c>
      <c r="AG50" s="4055" t="s">
        <v>66</v>
      </c>
      <c r="AH50" s="4227">
        <v>45473</v>
      </c>
      <c r="AI50" s="4055" t="s">
        <v>66</v>
      </c>
      <c r="AJ50" s="4052">
        <v>42.04</v>
      </c>
      <c r="AK50" s="4052"/>
      <c r="AL50" s="4053"/>
      <c r="AM50" s="4054">
        <v>45474</v>
      </c>
      <c r="AN50" s="4055" t="s">
        <v>66</v>
      </c>
      <c r="AO50" s="4054">
        <v>45838</v>
      </c>
      <c r="AP50" s="4055" t="s">
        <v>66</v>
      </c>
      <c r="AQ50" s="4052">
        <v>80.55</v>
      </c>
      <c r="AR50" s="4052"/>
      <c r="AS50" s="4053"/>
      <c r="AT50" s="4054">
        <v>45839</v>
      </c>
      <c r="AU50" s="4055" t="s">
        <v>66</v>
      </c>
      <c r="AV50" s="4054">
        <v>46022</v>
      </c>
      <c r="AW50" s="4055" t="s">
        <v>66</v>
      </c>
      <c r="AX50" s="4052">
        <v>42.34</v>
      </c>
      <c r="AY50" s="4052"/>
      <c r="AZ50" s="4053"/>
      <c r="BA50" s="4054">
        <v>46023</v>
      </c>
      <c r="BB50" s="4055" t="s">
        <v>66</v>
      </c>
      <c r="BC50" s="4054">
        <v>46203</v>
      </c>
      <c r="BD50" s="4055" t="s">
        <v>66</v>
      </c>
      <c r="BE50" s="4052">
        <v>43.17</v>
      </c>
      <c r="BF50" s="4052"/>
      <c r="BG50" s="4053"/>
      <c r="BH50" s="4054">
        <v>46204</v>
      </c>
      <c r="BI50" s="4055" t="s">
        <v>66</v>
      </c>
      <c r="BJ50" s="4054">
        <v>46568</v>
      </c>
      <c r="BK50" s="4055" t="s">
        <v>66</v>
      </c>
      <c r="BL50" s="4052">
        <v>44.82</v>
      </c>
      <c r="BM50" s="4052"/>
      <c r="BN50" s="4053"/>
      <c r="BO50" s="4054">
        <v>46569</v>
      </c>
      <c r="BP50" s="4055" t="s">
        <v>66</v>
      </c>
      <c r="BQ50" s="4054">
        <v>46934</v>
      </c>
      <c r="BR50" s="4055" t="s">
        <v>66</v>
      </c>
      <c r="BS50" s="4052">
        <v>45.73</v>
      </c>
      <c r="BT50" s="4052"/>
      <c r="BU50" s="4053"/>
      <c r="BV50" s="4054">
        <v>46935</v>
      </c>
      <c r="BW50" s="4055" t="s">
        <v>66</v>
      </c>
      <c r="BX50" s="4054">
        <v>47118</v>
      </c>
      <c r="BY50" s="4055" t="s">
        <v>66</v>
      </c>
      <c r="BZ50" s="4289"/>
      <c r="CA50" s="4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50" s="4204">
        <f>STRCHECKDATE(V51:BZ51)</f>
      </c>
      <c r="CC50" s="4286"/>
      <c r="CD50" s="4286" t="str">
        <f>IF(T50="","",T50)</f>
        <v>Прочие ( без  учета  НДС 20%)</v>
      </c>
      <c r="CE50" s="4286"/>
      <c r="CF50" s="4286"/>
      <c r="CG50" s="4032">
        <v>0</v>
      </c>
    </row>
    <row s="14518" customFormat="1" customHeight="1" ht="14.25">
      <c r="A51" s="4273"/>
      <c r="B51" s="4273"/>
      <c r="C51" s="4273"/>
      <c r="D51" s="4273"/>
      <c r="E51" s="4274"/>
      <c r="F51" s="4274"/>
      <c r="G51" s="4274"/>
      <c r="H51" s="4274"/>
      <c r="I51" s="4275"/>
      <c r="J51" s="4275" t="str">
        <f>I44&amp;".1"</f>
        <v>1.1.1.1.1</v>
      </c>
      <c r="K51" s="4276"/>
      <c r="L51" s="4277"/>
      <c r="M51" s="4278"/>
      <c r="N51" s="4278"/>
      <c r="O51" s="4278"/>
      <c r="P51" s="4279"/>
      <c r="Q51" s="4279"/>
      <c r="R51" s="4281"/>
      <c r="S51" s="4292"/>
      <c r="T51" s="4284"/>
      <c r="U51" s="4284"/>
      <c r="V51" s="4059"/>
      <c r="W51" s="4059"/>
      <c r="X51" s="4060" t="str">
        <f>Y50&amp;"-"&amp;AA50</f>
        <v>-</v>
      </c>
      <c r="Y51" s="4061"/>
      <c r="Z51" s="4055"/>
      <c r="AA51" s="4061"/>
      <c r="AB51" s="4055"/>
      <c r="AC51" s="4059"/>
      <c r="AD51" s="4059"/>
      <c r="AE51" s="4060" t="str">
        <f>AF50&amp;"-"&amp;AH50</f>
        <v>45292-45473</v>
      </c>
      <c r="AF51" s="4061"/>
      <c r="AG51" s="4055"/>
      <c r="AH51" s="4229"/>
      <c r="AI51" s="4055"/>
      <c r="AJ51" s="4059"/>
      <c r="AK51" s="4059"/>
      <c r="AL51" s="4060" t="str">
        <f>AM50&amp;"-"&amp;AO50</f>
        <v>45474-45838</v>
      </c>
      <c r="AM51" s="4061"/>
      <c r="AN51" s="4055"/>
      <c r="AO51" s="4061"/>
      <c r="AP51" s="4055"/>
      <c r="AQ51" s="4059"/>
      <c r="AR51" s="4059"/>
      <c r="AS51" s="4060" t="str">
        <f>AT50&amp;"-"&amp;AV50</f>
        <v>45839-46022</v>
      </c>
      <c r="AT51" s="4061"/>
      <c r="AU51" s="4055"/>
      <c r="AV51" s="4061"/>
      <c r="AW51" s="4055"/>
      <c r="AX51" s="4059"/>
      <c r="AY51" s="4059"/>
      <c r="AZ51" s="4060" t="str">
        <f>BA50&amp;"-"&amp;BC50</f>
        <v>46023-46203</v>
      </c>
      <c r="BA51" s="4061"/>
      <c r="BB51" s="4055"/>
      <c r="BC51" s="4061"/>
      <c r="BD51" s="4055"/>
      <c r="BE51" s="4059"/>
      <c r="BF51" s="4059"/>
      <c r="BG51" s="4060" t="str">
        <f>BH50&amp;"-"&amp;BJ50</f>
        <v>46204-46568</v>
      </c>
      <c r="BH51" s="4061"/>
      <c r="BI51" s="4055"/>
      <c r="BJ51" s="4061"/>
      <c r="BK51" s="4055"/>
      <c r="BL51" s="4059"/>
      <c r="BM51" s="4059"/>
      <c r="BN51" s="4060" t="str">
        <f>BO50&amp;"-"&amp;BQ50</f>
        <v>46569-46934</v>
      </c>
      <c r="BO51" s="4061"/>
      <c r="BP51" s="4055"/>
      <c r="BQ51" s="4061"/>
      <c r="BR51" s="4055"/>
      <c r="BS51" s="4059"/>
      <c r="BT51" s="4059"/>
      <c r="BU51" s="4060" t="str">
        <f>BV50&amp;"-"&amp;BX50</f>
        <v>46935-47118</v>
      </c>
      <c r="BV51" s="4061"/>
      <c r="BW51" s="4055"/>
      <c r="BX51" s="4061"/>
      <c r="BY51" s="4055"/>
      <c r="BZ51" s="4293"/>
      <c r="CA51" s="4290"/>
      <c r="CB51" s="4204"/>
      <c r="CC51" s="4286"/>
      <c r="CD51" s="4286" t="str">
        <f>IF(T51="","",T51)</f>
        <v/>
      </c>
      <c r="CE51" s="4286"/>
      <c r="CF51" s="4286"/>
      <c r="CG51" s="4032">
        <v>0</v>
      </c>
    </row>
    <row s="14521" customFormat="1" customHeight="1" ht="21">
      <c r="A52" s="4273"/>
      <c r="B52" s="4273"/>
      <c r="C52" s="4273"/>
      <c r="D52" s="4273"/>
      <c r="E52" s="4274"/>
      <c r="F52" s="4274"/>
      <c r="G52" s="4274"/>
      <c r="H52" s="4274"/>
      <c r="I52" s="4275"/>
      <c r="J52" s="4276" t="str">
        <f>I44&amp;".1"</f>
        <v>1.1.1.1.1</v>
      </c>
      <c r="K52" s="4273"/>
      <c r="L52" s="4277"/>
      <c r="M52" s="4278"/>
      <c r="N52" s="4278"/>
      <c r="O52" s="4278"/>
      <c r="P52" s="4279"/>
      <c r="Q52" s="4279"/>
      <c r="R52" s="4295"/>
      <c r="S52" s="4296"/>
      <c r="T52" s="4297" t="s">
        <v>488</v>
      </c>
      <c r="U52" s="4298"/>
      <c r="V52" s="4299"/>
      <c r="W52" s="4300"/>
      <c r="X52" s="4301"/>
      <c r="Y52" s="4302"/>
      <c r="Z52" s="4303"/>
      <c r="AA52" s="4304"/>
      <c r="AB52" s="4305"/>
      <c r="AC52" s="4306"/>
      <c r="AD52" s="4307"/>
      <c r="AE52" s="4308"/>
      <c r="AF52" s="4309"/>
      <c r="AG52" s="4310"/>
      <c r="AH52" s="4311"/>
      <c r="AI52" s="4312"/>
      <c r="AJ52" s="4313"/>
      <c r="AK52" s="4314"/>
      <c r="AL52" s="4315"/>
      <c r="AM52" s="4316"/>
      <c r="AN52" s="4317"/>
      <c r="AO52" s="4318"/>
      <c r="AP52" s="4319"/>
      <c r="AQ52" s="4320"/>
      <c r="AR52" s="4321"/>
      <c r="AS52" s="4322"/>
      <c r="AT52" s="4323"/>
      <c r="AU52" s="4324"/>
      <c r="AV52" s="4325"/>
      <c r="AW52" s="4326"/>
      <c r="AX52" s="4327"/>
      <c r="AY52" s="4328"/>
      <c r="AZ52" s="4329"/>
      <c r="BA52" s="4330"/>
      <c r="BB52" s="4331"/>
      <c r="BC52" s="4332"/>
      <c r="BD52" s="4333"/>
      <c r="BE52" s="4334"/>
      <c r="BF52" s="4335"/>
      <c r="BG52" s="4336"/>
      <c r="BH52" s="4337"/>
      <c r="BI52" s="4338"/>
      <c r="BJ52" s="4339"/>
      <c r="BK52" s="4340"/>
      <c r="BL52" s="4341"/>
      <c r="BM52" s="4342"/>
      <c r="BN52" s="4343"/>
      <c r="BO52" s="4344"/>
      <c r="BP52" s="4345"/>
      <c r="BQ52" s="4346"/>
      <c r="BR52" s="4347"/>
      <c r="BS52" s="4348"/>
      <c r="BT52" s="4349"/>
      <c r="BU52" s="4350"/>
      <c r="BV52" s="4351"/>
      <c r="BW52" s="4352"/>
      <c r="BX52" s="4353"/>
      <c r="BY52" s="4354"/>
      <c r="BZ52" s="4355"/>
      <c r="CA52" s="4356" t="s">
        <v>489</v>
      </c>
      <c r="CB52" s="4204"/>
      <c r="CC52" s="4286"/>
      <c r="CD52" s="4286" t="str">
        <f>IF(T52="","",T52)</f>
        <v>Добавить значение признака дифференциации</v>
      </c>
      <c r="CE52" s="4286"/>
      <c r="CF52" s="4286"/>
      <c r="CG52" s="4032">
        <v>0</v>
      </c>
    </row>
    <row customHeight="1" ht="22.049999999999997">
      <c r="A53" s="1590" t="s">
        <v>226</v>
      </c>
      <c r="B53" s="1590" t="s">
        <v>227</v>
      </c>
      <c r="C53" s="1590" t="s">
        <v>228</v>
      </c>
      <c r="D53" s="1590" t="s">
        <v>498</v>
      </c>
      <c r="E53" s="2486"/>
      <c r="F53" s="2486"/>
      <c r="G53" s="2486"/>
      <c r="H53" s="2486"/>
      <c r="I53" s="2483"/>
      <c r="J53" s="1590"/>
      <c r="K53" s="1590"/>
      <c r="L53" s="1591"/>
      <c r="P53" s="2484"/>
      <c r="Q53" s="1581"/>
      <c r="R53" s="583"/>
      <c r="S53" s="1505"/>
      <c r="T53" s="592" t="s">
        <v>417</v>
      </c>
      <c r="U53" s="594"/>
      <c r="V53" s="594"/>
      <c r="W53" s="594"/>
      <c r="X53" s="594"/>
      <c r="Y53" s="594"/>
      <c r="Z53" s="594"/>
      <c r="AA53" s="594"/>
      <c r="AB53" s="593"/>
      <c r="AC53" s="594"/>
      <c r="AD53" s="594"/>
      <c r="AE53" s="594"/>
      <c r="AF53" s="594"/>
      <c r="AG53" s="594"/>
      <c r="AH53" s="594"/>
      <c r="AI53" s="593"/>
      <c r="AJ53" s="4357"/>
      <c r="AK53" s="4358"/>
      <c r="AL53" s="4359"/>
      <c r="AM53" s="4360"/>
      <c r="AN53" s="4361"/>
      <c r="AO53" s="4362"/>
      <c r="AP53" s="4363"/>
      <c r="AQ53" s="4364"/>
      <c r="AR53" s="4365"/>
      <c r="AS53" s="4366"/>
      <c r="AT53" s="4367"/>
      <c r="AU53" s="4368"/>
      <c r="AV53" s="4369"/>
      <c r="AW53" s="4370"/>
      <c r="AX53" s="4371"/>
      <c r="AY53" s="4372"/>
      <c r="AZ53" s="4373"/>
      <c r="BA53" s="4374"/>
      <c r="BB53" s="4375"/>
      <c r="BC53" s="4376"/>
      <c r="BD53" s="4377"/>
      <c r="BE53" s="4378"/>
      <c r="BF53" s="4379"/>
      <c r="BG53" s="4380"/>
      <c r="BH53" s="4381"/>
      <c r="BI53" s="4382"/>
      <c r="BJ53" s="4383"/>
      <c r="BK53" s="4384"/>
      <c r="BL53" s="4385"/>
      <c r="BM53" s="4386"/>
      <c r="BN53" s="4387"/>
      <c r="BO53" s="4388"/>
      <c r="BP53" s="4389"/>
      <c r="BQ53" s="4390"/>
      <c r="BR53" s="4391"/>
      <c r="BS53" s="4392"/>
      <c r="BT53" s="4393"/>
      <c r="BU53" s="4394"/>
      <c r="BV53" s="4395"/>
      <c r="BW53" s="4396"/>
      <c r="BX53" s="4397"/>
      <c r="BY53" s="4398"/>
      <c r="BZ53" s="594"/>
      <c r="CA53" s="1667"/>
      <c r="CC53" s="727"/>
      <c r="CD53" s="727" t="str">
        <f>IF(T53="","",T53)</f>
        <v>Добавить группу потребителей</v>
      </c>
      <c r="CE53" s="727"/>
      <c r="CF53" s="727"/>
      <c r="CG53" s="1382">
        <v>21</v>
      </c>
    </row>
    <row customHeight="1" ht="22.049999999999997">
      <c r="A54" s="1590" t="s">
        <v>226</v>
      </c>
      <c r="B54" s="1590" t="s">
        <v>227</v>
      </c>
      <c r="C54" s="1590" t="s">
        <v>228</v>
      </c>
      <c r="D54" s="1590" t="s">
        <v>498</v>
      </c>
      <c r="E54" s="2486"/>
      <c r="F54" s="2486"/>
      <c r="G54" s="2486"/>
      <c r="H54" s="2485"/>
      <c r="I54" s="1590"/>
      <c r="J54" s="1590"/>
      <c r="K54" s="1590"/>
      <c r="L54" s="1591"/>
      <c r="M54" s="1592"/>
      <c r="N54" s="1592"/>
      <c r="O54" s="764"/>
      <c r="P54" s="587"/>
      <c r="Q54" s="602"/>
      <c r="R54" s="582"/>
      <c r="S54" s="1505"/>
      <c r="T54" s="599" t="s">
        <v>490</v>
      </c>
      <c r="U54" s="594"/>
      <c r="V54" s="594"/>
      <c r="W54" s="594"/>
      <c r="X54" s="594"/>
      <c r="Y54" s="594"/>
      <c r="Z54" s="594"/>
      <c r="AA54" s="594"/>
      <c r="AB54" s="593"/>
      <c r="AC54" s="594"/>
      <c r="AD54" s="594"/>
      <c r="AE54" s="594"/>
      <c r="AF54" s="594"/>
      <c r="AG54" s="594"/>
      <c r="AH54" s="594"/>
      <c r="AI54" s="593"/>
      <c r="AJ54" s="4399"/>
      <c r="AK54" s="4400"/>
      <c r="AL54" s="4401"/>
      <c r="AM54" s="4402"/>
      <c r="AN54" s="4403"/>
      <c r="AO54" s="4404"/>
      <c r="AP54" s="4405"/>
      <c r="AQ54" s="4406"/>
      <c r="AR54" s="4407"/>
      <c r="AS54" s="4408"/>
      <c r="AT54" s="4409"/>
      <c r="AU54" s="4410"/>
      <c r="AV54" s="4411"/>
      <c r="AW54" s="4412"/>
      <c r="AX54" s="4413"/>
      <c r="AY54" s="4414"/>
      <c r="AZ54" s="4415"/>
      <c r="BA54" s="4416"/>
      <c r="BB54" s="4417"/>
      <c r="BC54" s="4418"/>
      <c r="BD54" s="4419"/>
      <c r="BE54" s="4420"/>
      <c r="BF54" s="4421"/>
      <c r="BG54" s="4422"/>
      <c r="BH54" s="4423"/>
      <c r="BI54" s="4424"/>
      <c r="BJ54" s="4425"/>
      <c r="BK54" s="4426"/>
      <c r="BL54" s="4427"/>
      <c r="BM54" s="4428"/>
      <c r="BN54" s="4429"/>
      <c r="BO54" s="4430"/>
      <c r="BP54" s="4431"/>
      <c r="BQ54" s="4432"/>
      <c r="BR54" s="4433"/>
      <c r="BS54" s="4434"/>
      <c r="BT54" s="4435"/>
      <c r="BU54" s="4436"/>
      <c r="BV54" s="4437"/>
      <c r="BW54" s="4438"/>
      <c r="BX54" s="4439"/>
      <c r="BY54" s="4440"/>
      <c r="BZ54" s="594"/>
      <c r="CA54" s="530"/>
      <c r="CC54" s="727"/>
      <c r="CD54" s="727" t="str">
        <f>IF(T54="","",T54)</f>
        <v>Добавить наименование признака дифференциации</v>
      </c>
      <c r="CE54" s="727"/>
      <c r="CF54" s="727"/>
      <c r="CG54" s="1382">
        <v>21</v>
      </c>
    </row>
    <row s="13222" customFormat="1" customHeight="1" ht="0">
      <c r="A55" s="1570" t="s">
        <v>226</v>
      </c>
      <c r="B55" s="1570" t="s">
        <v>227</v>
      </c>
      <c r="C55" s="1541"/>
      <c r="D55" s="1541"/>
      <c r="E55" s="2486"/>
      <c r="F55" s="2485"/>
      <c r="G55" s="1541"/>
      <c r="H55" s="1541"/>
      <c r="I55" s="1541"/>
      <c r="J55" s="1541"/>
      <c r="K55" s="1541"/>
      <c r="L55" s="1653"/>
      <c r="M55" s="1548"/>
      <c r="N55" s="1548"/>
      <c r="P55" s="1543"/>
      <c r="Q55" s="1544"/>
      <c r="R55" s="1543"/>
      <c r="S55" s="1549"/>
      <c r="T55" s="1552" t="s">
        <v>229</v>
      </c>
      <c r="U55" s="1551"/>
      <c r="V55" s="1551"/>
      <c r="W55" s="1551"/>
      <c r="X55" s="1551"/>
      <c r="Y55" s="1551"/>
      <c r="Z55" s="1551"/>
      <c r="AA55" s="1551"/>
      <c r="AB55" s="1551"/>
      <c r="AC55" s="1551"/>
      <c r="AD55" s="1551"/>
      <c r="AE55" s="1551"/>
      <c r="AF55" s="1551"/>
      <c r="AG55" s="1551"/>
      <c r="AH55" s="1551"/>
      <c r="AI55" s="1551"/>
      <c r="AJ55" s="4192"/>
      <c r="AK55" s="4192"/>
      <c r="AL55" s="4192"/>
      <c r="AM55" s="4192"/>
      <c r="AN55" s="4192"/>
      <c r="AO55" s="4192"/>
      <c r="AP55" s="4192"/>
      <c r="AQ55" s="4192"/>
      <c r="AR55" s="4192"/>
      <c r="AS55" s="4192"/>
      <c r="AT55" s="4192"/>
      <c r="AU55" s="4192"/>
      <c r="AV55" s="4192"/>
      <c r="AW55" s="4192"/>
      <c r="AX55" s="4192"/>
      <c r="AY55" s="4192"/>
      <c r="AZ55" s="4192"/>
      <c r="BA55" s="4192"/>
      <c r="BB55" s="4192"/>
      <c r="BC55" s="4192"/>
      <c r="BD55" s="4192"/>
      <c r="BE55" s="4192"/>
      <c r="BF55" s="4192"/>
      <c r="BG55" s="4192"/>
      <c r="BH55" s="4192"/>
      <c r="BI55" s="4192"/>
      <c r="BJ55" s="4192"/>
      <c r="BK55" s="4192"/>
      <c r="BL55" s="4192"/>
      <c r="BM55" s="4192"/>
      <c r="BN55" s="4192"/>
      <c r="BO55" s="4192"/>
      <c r="BP55" s="4192"/>
      <c r="BQ55" s="4192"/>
      <c r="BR55" s="4192"/>
      <c r="BS55" s="4192"/>
      <c r="BT55" s="4192"/>
      <c r="BU55" s="4192"/>
      <c r="BV55" s="4192"/>
      <c r="BW55" s="4192"/>
      <c r="BX55" s="4192"/>
      <c r="BY55" s="4192"/>
      <c r="BZ55" s="1551"/>
      <c r="CA55" s="1551"/>
      <c r="CC55" s="1016"/>
      <c r="CD55" s="1016" t="str">
        <f>IF(T55="","",T55)</f>
        <v>Добавить централизованную систему для дифференциации</v>
      </c>
      <c r="CE55" s="1016"/>
      <c r="CF55" s="1016"/>
      <c r="CG55" s="745">
        <v>0</v>
      </c>
    </row>
    <row s="13222" customFormat="1" customHeight="1" ht="0">
      <c r="A56" s="1570" t="s">
        <v>226</v>
      </c>
      <c r="B56" s="1570"/>
      <c r="C56" s="1570"/>
      <c r="D56" s="1570"/>
      <c r="E56" s="2485"/>
      <c r="F56" s="1570"/>
      <c r="G56" s="1570"/>
      <c r="H56" s="1570"/>
      <c r="I56" s="1570"/>
      <c r="J56" s="1570"/>
      <c r="K56" s="1570"/>
      <c r="L56" s="1573"/>
      <c r="M56" s="1548"/>
      <c r="N56" s="1548"/>
      <c r="O56" s="745"/>
      <c r="P56" s="607"/>
      <c r="Q56" s="1571"/>
      <c r="R56" s="607"/>
      <c r="S56" s="1549"/>
      <c r="T56" s="1552" t="s">
        <v>230</v>
      </c>
      <c r="U56" s="1551"/>
      <c r="V56" s="1551"/>
      <c r="W56" s="1551"/>
      <c r="X56" s="1551"/>
      <c r="Y56" s="1551"/>
      <c r="Z56" s="1551"/>
      <c r="AA56" s="1551"/>
      <c r="AB56" s="1551"/>
      <c r="AC56" s="1551"/>
      <c r="AD56" s="1551"/>
      <c r="AE56" s="1551"/>
      <c r="AF56" s="1551"/>
      <c r="AG56" s="1551"/>
      <c r="AH56" s="1551"/>
      <c r="AI56" s="1551"/>
      <c r="AJ56" s="4192"/>
      <c r="AK56" s="4192"/>
      <c r="AL56" s="4192"/>
      <c r="AM56" s="4192"/>
      <c r="AN56" s="4192"/>
      <c r="AO56" s="4192"/>
      <c r="AP56" s="4192"/>
      <c r="AQ56" s="4192"/>
      <c r="AR56" s="4192"/>
      <c r="AS56" s="4192"/>
      <c r="AT56" s="4192"/>
      <c r="AU56" s="4192"/>
      <c r="AV56" s="4192"/>
      <c r="AW56" s="4192"/>
      <c r="AX56" s="4192"/>
      <c r="AY56" s="4192"/>
      <c r="AZ56" s="4192"/>
      <c r="BA56" s="4192"/>
      <c r="BB56" s="4192"/>
      <c r="BC56" s="4192"/>
      <c r="BD56" s="4192"/>
      <c r="BE56" s="4192"/>
      <c r="BF56" s="4192"/>
      <c r="BG56" s="4192"/>
      <c r="BH56" s="4192"/>
      <c r="BI56" s="4192"/>
      <c r="BJ56" s="4192"/>
      <c r="BK56" s="4192"/>
      <c r="BL56" s="4192"/>
      <c r="BM56" s="4192"/>
      <c r="BN56" s="4192"/>
      <c r="BO56" s="4192"/>
      <c r="BP56" s="4192"/>
      <c r="BQ56" s="4192"/>
      <c r="BR56" s="4192"/>
      <c r="BS56" s="4192"/>
      <c r="BT56" s="4192"/>
      <c r="BU56" s="4192"/>
      <c r="BV56" s="4192"/>
      <c r="BW56" s="4192"/>
      <c r="BX56" s="4192"/>
      <c r="BY56" s="4192"/>
      <c r="BZ56" s="1551"/>
      <c r="CA56" s="1551"/>
      <c r="CC56" s="727"/>
      <c r="CD56" s="727" t="str">
        <f>IF(T56="","",T56)</f>
        <v>Добавить территорию для дифференциации</v>
      </c>
      <c r="CE56" s="727"/>
      <c r="CF56" s="727"/>
      <c r="CG56" s="738">
        <v>0</v>
      </c>
    </row>
    <row s="13222" customFormat="1" customHeight="1" ht="0">
      <c r="A57" s="1541"/>
      <c r="B57" s="1541"/>
      <c r="C57" s="1541"/>
      <c r="D57" s="1541"/>
      <c r="E57" s="1570"/>
      <c r="F57" s="1541"/>
      <c r="G57" s="1541"/>
      <c r="H57" s="1541"/>
      <c r="I57" s="1541"/>
      <c r="J57" s="1541"/>
      <c r="K57" s="1541"/>
      <c r="L57" s="1653"/>
      <c r="M57" s="1548"/>
      <c r="N57" s="1548"/>
      <c r="P57" s="1543"/>
      <c r="Q57" s="1544"/>
      <c r="R57" s="1543"/>
      <c r="S57" s="1549"/>
      <c r="T57" s="1552" t="s">
        <v>231</v>
      </c>
      <c r="U57" s="1551"/>
      <c r="V57" s="1551"/>
      <c r="W57" s="1551"/>
      <c r="X57" s="1551"/>
      <c r="Y57" s="1551"/>
      <c r="Z57" s="1551"/>
      <c r="AA57" s="1551"/>
      <c r="AB57" s="1551"/>
      <c r="AC57" s="1551"/>
      <c r="AD57" s="1551"/>
      <c r="AE57" s="1551"/>
      <c r="AF57" s="1551"/>
      <c r="AG57" s="1551"/>
      <c r="AH57" s="1551"/>
      <c r="AI57" s="1551"/>
      <c r="AJ57" s="4192"/>
      <c r="AK57" s="4192"/>
      <c r="AL57" s="4192"/>
      <c r="AM57" s="4192"/>
      <c r="AN57" s="4192"/>
      <c r="AO57" s="4192"/>
      <c r="AP57" s="4192"/>
      <c r="AQ57" s="4192"/>
      <c r="AR57" s="4192"/>
      <c r="AS57" s="4192"/>
      <c r="AT57" s="4192"/>
      <c r="AU57" s="4192"/>
      <c r="AV57" s="4192"/>
      <c r="AW57" s="4192"/>
      <c r="AX57" s="4192"/>
      <c r="AY57" s="4192"/>
      <c r="AZ57" s="4192"/>
      <c r="BA57" s="4192"/>
      <c r="BB57" s="4192"/>
      <c r="BC57" s="4192"/>
      <c r="BD57" s="4192"/>
      <c r="BE57" s="4192"/>
      <c r="BF57" s="4192"/>
      <c r="BG57" s="4192"/>
      <c r="BH57" s="4192"/>
      <c r="BI57" s="4192"/>
      <c r="BJ57" s="4192"/>
      <c r="BK57" s="4192"/>
      <c r="BL57" s="4192"/>
      <c r="BM57" s="4192"/>
      <c r="BN57" s="4192"/>
      <c r="BO57" s="4192"/>
      <c r="BP57" s="4192"/>
      <c r="BQ57" s="4192"/>
      <c r="BR57" s="4192"/>
      <c r="BS57" s="4192"/>
      <c r="BT57" s="4192"/>
      <c r="BU57" s="4192"/>
      <c r="BV57" s="4192"/>
      <c r="BW57" s="4192"/>
      <c r="BX57" s="4192"/>
      <c r="BY57" s="4192"/>
      <c r="BZ57" s="1551"/>
      <c r="CA57" s="1551"/>
      <c r="CC57" s="1016"/>
      <c r="CD57" s="1016" t="str">
        <f>IF(T57="","",T57)</f>
        <v>Добавить наименование тарифа</v>
      </c>
      <c r="CE57" s="1016"/>
      <c r="CF57" s="1016"/>
      <c r="CG57" s="745">
        <v>0</v>
      </c>
    </row>
    <row customHeight="1" ht="11.549999999999999">
      <c r="M58" s="1387"/>
      <c r="N58" s="1387"/>
      <c r="O58" s="764"/>
      <c r="P58" s="1382"/>
      <c r="Q58" s="1382"/>
      <c r="R58" s="1382"/>
      <c r="S58" s="1382"/>
      <c r="AJ58" s="4032"/>
      <c r="AK58" s="4032"/>
      <c r="AL58" s="4032"/>
      <c r="AM58" s="4032"/>
      <c r="AN58" s="4032"/>
      <c r="AO58" s="4032"/>
      <c r="AP58" s="4032"/>
      <c r="AQ58" s="4032"/>
      <c r="AR58" s="4032"/>
      <c r="AS58" s="4032"/>
      <c r="AT58" s="4032"/>
      <c r="AU58" s="4032"/>
      <c r="AV58" s="4032"/>
      <c r="AW58" s="4032"/>
      <c r="AX58" s="4032"/>
      <c r="AY58" s="4032"/>
      <c r="AZ58" s="4032"/>
      <c r="BA58" s="4032"/>
      <c r="BB58" s="4032"/>
      <c r="BC58" s="4032"/>
      <c r="BD58" s="4032"/>
      <c r="BE58" s="4032"/>
      <c r="BF58" s="4032"/>
      <c r="BG58" s="4032"/>
      <c r="BH58" s="4032"/>
      <c r="BI58" s="4032"/>
      <c r="BJ58" s="4032"/>
      <c r="BK58" s="4032"/>
      <c r="BL58" s="4032"/>
      <c r="BM58" s="4032"/>
      <c r="BN58" s="4032"/>
      <c r="BO58" s="4032"/>
      <c r="BP58" s="4032"/>
      <c r="BQ58" s="4032"/>
      <c r="BR58" s="4032"/>
      <c r="BS58" s="4032"/>
      <c r="BT58" s="4032"/>
      <c r="BU58" s="4032"/>
      <c r="BV58" s="4032"/>
      <c r="BW58" s="4032"/>
      <c r="BX58" s="4032"/>
      <c r="BY58" s="4032"/>
      <c r="CB58" s="1382"/>
      <c r="CC58" s="1382"/>
      <c r="CD58" s="1382"/>
      <c r="CE58" s="1382"/>
      <c r="CF58" s="1382"/>
      <c r="CG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4441"/>
      <c r="AK59" s="4441"/>
      <c r="AL59" s="4441"/>
      <c r="AM59" s="4441"/>
      <c r="AN59" s="4441"/>
      <c r="AO59" s="4441"/>
      <c r="AP59" s="4441"/>
      <c r="AQ59" s="4441"/>
      <c r="AR59" s="4441"/>
      <c r="AS59" s="4441"/>
      <c r="AT59" s="4441"/>
      <c r="AU59" s="4441"/>
      <c r="AV59" s="4441"/>
      <c r="AW59" s="4441"/>
      <c r="AX59" s="4441"/>
      <c r="AY59" s="4441"/>
      <c r="AZ59" s="4441"/>
      <c r="BA59" s="4441"/>
      <c r="BB59" s="4441"/>
      <c r="BC59" s="4441"/>
      <c r="BD59" s="4441"/>
      <c r="BE59" s="4441"/>
      <c r="BF59" s="4441"/>
      <c r="BG59" s="4441"/>
      <c r="BH59" s="4441"/>
      <c r="BI59" s="4441"/>
      <c r="BJ59" s="4441"/>
      <c r="BK59" s="4441"/>
      <c r="BL59" s="4441"/>
      <c r="BM59" s="4441"/>
      <c r="BN59" s="4441"/>
      <c r="BO59" s="4441"/>
      <c r="BP59" s="4441"/>
      <c r="BQ59" s="4441"/>
      <c r="BR59" s="4441"/>
      <c r="BS59" s="4441"/>
      <c r="BT59" s="4441"/>
      <c r="BU59" s="4441"/>
      <c r="BV59" s="4441"/>
      <c r="BW59" s="4441"/>
      <c r="BX59" s="4441"/>
      <c r="BY59" s="4441"/>
      <c r="BZ59" s="2512"/>
      <c r="CA59" s="2512"/>
      <c r="CG59" s="1382">
        <v>14</v>
      </c>
    </row>
    <row customHeight="1" ht="14.699999999999998">
      <c r="O60" s="764"/>
      <c r="AJ60" s="4032"/>
      <c r="AK60" s="4032"/>
      <c r="AL60" s="4032"/>
      <c r="AM60" s="4032"/>
      <c r="AN60" s="4032"/>
      <c r="AO60" s="4032"/>
      <c r="AP60" s="4032"/>
      <c r="AQ60" s="4032"/>
      <c r="AR60" s="4032"/>
      <c r="AS60" s="4032"/>
      <c r="AT60" s="4032"/>
      <c r="AU60" s="4032"/>
      <c r="AV60" s="4032"/>
      <c r="AW60" s="4032"/>
      <c r="AX60" s="4032"/>
      <c r="AY60" s="4032"/>
      <c r="AZ60" s="4032"/>
      <c r="BA60" s="4032"/>
      <c r="BB60" s="4032"/>
      <c r="BC60" s="4032"/>
      <c r="BD60" s="4032"/>
      <c r="BE60" s="4032"/>
      <c r="BF60" s="4032"/>
      <c r="BG60" s="4032"/>
      <c r="BH60" s="4032"/>
      <c r="BI60" s="4032"/>
      <c r="BJ60" s="4032"/>
      <c r="BK60" s="4032"/>
      <c r="BL60" s="4032"/>
      <c r="BM60" s="4032"/>
      <c r="BN60" s="4032"/>
      <c r="BO60" s="4032"/>
      <c r="BP60" s="4032"/>
      <c r="BQ60" s="4032"/>
      <c r="BR60" s="4032"/>
      <c r="BS60" s="4032"/>
      <c r="BT60" s="4032"/>
      <c r="BU60" s="4032"/>
      <c r="BV60" s="4032"/>
      <c r="BW60" s="4032"/>
      <c r="BX60" s="4032"/>
      <c r="BY60" s="4032"/>
      <c r="CG60" s="1382">
        <v>14</v>
      </c>
    </row>
    <row customHeight="1" ht="14.699999999999998">
      <c r="O61" s="764"/>
      <c r="S61" s="1480"/>
      <c r="T61" s="2512"/>
      <c r="U61" s="2512"/>
      <c r="V61" s="2512"/>
      <c r="W61" s="2512"/>
      <c r="X61" s="2512"/>
      <c r="Y61" s="2512"/>
      <c r="Z61" s="2512"/>
      <c r="AA61" s="2512"/>
      <c r="AB61" s="2512"/>
      <c r="AC61" s="2512"/>
      <c r="AD61" s="2512"/>
      <c r="AE61" s="2512"/>
      <c r="AF61" s="2512"/>
      <c r="AG61" s="2512"/>
      <c r="AH61" s="2512"/>
      <c r="AI61" s="2512"/>
      <c r="AJ61" s="4441"/>
      <c r="AK61" s="4441"/>
      <c r="AL61" s="4441"/>
      <c r="AM61" s="4441"/>
      <c r="AN61" s="4441"/>
      <c r="AO61" s="4441"/>
      <c r="AP61" s="4441"/>
      <c r="AQ61" s="4441"/>
      <c r="AR61" s="4441"/>
      <c r="AS61" s="4441"/>
      <c r="AT61" s="4441"/>
      <c r="AU61" s="4441"/>
      <c r="AV61" s="4441"/>
      <c r="AW61" s="4441"/>
      <c r="AX61" s="4441"/>
      <c r="AY61" s="4441"/>
      <c r="AZ61" s="4441"/>
      <c r="BA61" s="4441"/>
      <c r="BB61" s="4441"/>
      <c r="BC61" s="4441"/>
      <c r="BD61" s="4441"/>
      <c r="BE61" s="4441"/>
      <c r="BF61" s="4441"/>
      <c r="BG61" s="4441"/>
      <c r="BH61" s="4441"/>
      <c r="BI61" s="4441"/>
      <c r="BJ61" s="4441"/>
      <c r="BK61" s="4441"/>
      <c r="BL61" s="4441"/>
      <c r="BM61" s="4441"/>
      <c r="BN61" s="4441"/>
      <c r="BO61" s="4441"/>
      <c r="BP61" s="4441"/>
      <c r="BQ61" s="4441"/>
      <c r="BR61" s="4441"/>
      <c r="BS61" s="4441"/>
      <c r="BT61" s="4441"/>
      <c r="BU61" s="4441"/>
      <c r="BV61" s="4441"/>
      <c r="BW61" s="4441"/>
      <c r="BX61" s="4441"/>
      <c r="BY61" s="4441"/>
      <c r="BZ61" s="2512"/>
      <c r="CA61" s="2512"/>
      <c r="CG61" s="1382">
        <v>14</v>
      </c>
    </row>
    <row customHeight="1" ht="22.5" hidden="1">
      <c r="A62" s="1387" t="s">
        <v>82</v>
      </c>
      <c r="B62" s="1387">
        <v>0</v>
      </c>
      <c r="C62" s="1387">
        <v>0</v>
      </c>
      <c r="D62" s="1387">
        <v>0</v>
      </c>
      <c r="E62" s="1387">
        <v>0</v>
      </c>
      <c r="F62" s="1387">
        <v>0</v>
      </c>
      <c r="G62" s="1387">
        <v>0</v>
      </c>
      <c r="H62" s="1387">
        <v>0</v>
      </c>
      <c r="I62" s="1387">
        <v>0</v>
      </c>
      <c r="J62" s="1387">
        <v>0</v>
      </c>
      <c r="K62" s="1387">
        <v>0</v>
      </c>
      <c r="L62" s="1648">
        <v>0</v>
      </c>
      <c r="M62" s="1589">
        <v>0</v>
      </c>
      <c r="N62" s="1589">
        <v>0</v>
      </c>
      <c r="O62" s="1589">
        <v>0</v>
      </c>
      <c r="P62" s="1578">
        <v>3</v>
      </c>
      <c r="Q62" s="571">
        <v>3</v>
      </c>
      <c r="R62" s="571">
        <v>3</v>
      </c>
      <c r="S62" s="808">
        <v>12</v>
      </c>
      <c r="T62" s="1382">
        <v>35</v>
      </c>
      <c r="U62" s="1382">
        <v>0</v>
      </c>
      <c r="V62" s="1382">
        <v>0</v>
      </c>
      <c r="W62" s="1382">
        <v>0</v>
      </c>
      <c r="X62" s="1382">
        <v>0</v>
      </c>
      <c r="Y62" s="1382">
        <v>0</v>
      </c>
      <c r="Z62" s="1382">
        <v>0</v>
      </c>
      <c r="AA62" s="1382">
        <v>0</v>
      </c>
      <c r="AB62" s="1382">
        <v>0</v>
      </c>
      <c r="AC62" s="1382">
        <v>24</v>
      </c>
      <c r="AD62" s="1382">
        <v>24</v>
      </c>
      <c r="AE62" s="1382">
        <v>24</v>
      </c>
      <c r="AF62" s="1382">
        <v>11</v>
      </c>
      <c r="AG62" s="1382">
        <v>3</v>
      </c>
      <c r="AH62" s="1382">
        <v>11</v>
      </c>
      <c r="AI62" s="1382">
        <v>0</v>
      </c>
      <c r="AJ62" s="4032">
        <v>0</v>
      </c>
      <c r="AK62" s="4032">
        <v>0</v>
      </c>
      <c r="AL62" s="4032">
        <v>0</v>
      </c>
      <c r="AM62" s="4032">
        <v>0</v>
      </c>
      <c r="AN62" s="4032">
        <v>0</v>
      </c>
      <c r="AO62" s="4032">
        <v>0</v>
      </c>
      <c r="AP62" s="4032">
        <v>0</v>
      </c>
      <c r="AQ62" s="4032">
        <v>0</v>
      </c>
      <c r="AR62" s="4032">
        <v>0</v>
      </c>
      <c r="AS62" s="4032">
        <v>0</v>
      </c>
      <c r="AT62" s="4032">
        <v>0</v>
      </c>
      <c r="AU62" s="4032">
        <v>0</v>
      </c>
      <c r="AV62" s="4032">
        <v>0</v>
      </c>
      <c r="AW62" s="4032">
        <v>0</v>
      </c>
      <c r="AX62" s="4032">
        <v>0</v>
      </c>
      <c r="AY62" s="4032">
        <v>0</v>
      </c>
      <c r="AZ62" s="4032">
        <v>0</v>
      </c>
      <c r="BA62" s="4032">
        <v>0</v>
      </c>
      <c r="BB62" s="4032">
        <v>0</v>
      </c>
      <c r="BC62" s="4032">
        <v>0</v>
      </c>
      <c r="BD62" s="4032">
        <v>0</v>
      </c>
      <c r="BE62" s="4032">
        <v>0</v>
      </c>
      <c r="BF62" s="4032">
        <v>0</v>
      </c>
      <c r="BG62" s="4032">
        <v>0</v>
      </c>
      <c r="BH62" s="4032">
        <v>0</v>
      </c>
      <c r="BI62" s="4032">
        <v>0</v>
      </c>
      <c r="BJ62" s="4032">
        <v>0</v>
      </c>
      <c r="BK62" s="4032">
        <v>0</v>
      </c>
      <c r="BL62" s="4032">
        <v>0</v>
      </c>
      <c r="BM62" s="4032">
        <v>0</v>
      </c>
      <c r="BN62" s="4032">
        <v>0</v>
      </c>
      <c r="BO62" s="4032">
        <v>0</v>
      </c>
      <c r="BP62" s="4032">
        <v>0</v>
      </c>
      <c r="BQ62" s="4032">
        <v>0</v>
      </c>
      <c r="BR62" s="4032">
        <v>0</v>
      </c>
      <c r="BS62" s="4032">
        <v>0</v>
      </c>
      <c r="BT62" s="4032">
        <v>0</v>
      </c>
      <c r="BU62" s="4032">
        <v>0</v>
      </c>
      <c r="BV62" s="4032">
        <v>0</v>
      </c>
      <c r="BW62" s="4032">
        <v>0</v>
      </c>
      <c r="BX62" s="4032">
        <v>0</v>
      </c>
      <c r="BY62" s="4032">
        <v>0</v>
      </c>
      <c r="BZ62" s="1382">
        <v>4</v>
      </c>
      <c r="CA62" s="1382">
        <v>115</v>
      </c>
      <c r="CB62" s="738">
        <v>10</v>
      </c>
      <c r="CC62" s="738">
        <v>10</v>
      </c>
      <c r="CD62" s="738">
        <v>10</v>
      </c>
      <c r="CE62" s="738">
        <v>10</v>
      </c>
      <c r="CF62" s="738">
        <v>10</v>
      </c>
      <c r="CG62" s="1382">
        <v>23</v>
      </c>
    </row>
  </sheetData>
  <sheetProtection formatColumns="0" formatRows="0" autoFilter="0" sort="0" insertRows="0" insertColumns="1" deleteRows="0" deleteColumns="0"/>
  <mergeCells count="265">
    <mergeCell ref="E2:E13"/>
    <mergeCell ref="V2:AB2"/>
    <mergeCell ref="AC2:BZ2"/>
    <mergeCell ref="F3:F12"/>
    <mergeCell ref="V3:AB3"/>
    <mergeCell ref="AC3:BZ3"/>
    <mergeCell ref="G4:G11"/>
    <mergeCell ref="V4:AB4"/>
    <mergeCell ref="AC4:BZ4"/>
    <mergeCell ref="H5:H11"/>
    <mergeCell ref="AI7:AI8"/>
    <mergeCell ref="K7:K8"/>
    <mergeCell ref="Y7:Y8"/>
    <mergeCell ref="Z7:Z8"/>
    <mergeCell ref="AA7:AA8"/>
    <mergeCell ref="AB7:AB8"/>
    <mergeCell ref="I5:I10"/>
    <mergeCell ref="P5:P10"/>
    <mergeCell ref="V5:AB5"/>
    <mergeCell ref="AC5:BZ5"/>
    <mergeCell ref="J6:J9"/>
    <mergeCell ref="Q6:Q9"/>
    <mergeCell ref="V6:AB6"/>
    <mergeCell ref="AC6:BZ6"/>
    <mergeCell ref="CA7:CA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Z36"/>
    <mergeCell ref="CA36:CA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Z37:BZ39"/>
    <mergeCell ref="W38:X38"/>
    <mergeCell ref="E41:E56"/>
    <mergeCell ref="V41:AB41"/>
    <mergeCell ref="AC41:BZ41"/>
    <mergeCell ref="F42:F55"/>
    <mergeCell ref="V42:AB42"/>
    <mergeCell ref="AC42:BZ42"/>
    <mergeCell ref="G43:G54"/>
    <mergeCell ref="Y38:AA38"/>
    <mergeCell ref="AD38:AE38"/>
    <mergeCell ref="AF38:AH38"/>
    <mergeCell ref="Z39:AA39"/>
    <mergeCell ref="H44:H54"/>
    <mergeCell ref="I44:I53"/>
    <mergeCell ref="P44:P53"/>
    <mergeCell ref="V44:AB44"/>
    <mergeCell ref="AC44:BZ44"/>
    <mergeCell ref="J45:J48"/>
    <mergeCell ref="AG39:AH39"/>
    <mergeCell ref="Z40:AA40"/>
    <mergeCell ref="AG40:AH40"/>
    <mergeCell ref="K46:K47"/>
    <mergeCell ref="V43:AB43"/>
    <mergeCell ref="AC43:BZ43"/>
    <mergeCell ref="T59:CA59"/>
    <mergeCell ref="T61:CA61"/>
    <mergeCell ref="Q45:Q48"/>
    <mergeCell ref="V45:AB45"/>
    <mergeCell ref="AC45:BZ45"/>
    <mergeCell ref="AF46:AF47"/>
    <mergeCell ref="AG46:AG47"/>
    <mergeCell ref="CA46:CA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AI50:AI51"/>
    <mergeCell ref="K50:K51"/>
    <mergeCell ref="Y50:Y51"/>
    <mergeCell ref="Z50:Z51"/>
    <mergeCell ref="AA50:AA51"/>
    <mergeCell ref="AB50:AB51"/>
    <mergeCell ref="J49:J52"/>
    <mergeCell ref="Q49:Q52"/>
    <mergeCell ref="V49:AB49"/>
    <mergeCell ref="AC49:BZ49"/>
    <mergeCell ref="CA50:CA51"/>
    <mergeCell ref="AG50:AG51"/>
    <mergeCell ref="AH50:AH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s>
  <dataValidations count="8">
    <dataValidation type="list" allowBlank="1" showInputMessage="1" errorTitle="Ошибка" error="Выберите значение из списка" prompt="Выберите значение из списка" sqref="V983085:BZ983085 V65581:BZ65581 V131117:BZ131117 V196653:BZ196653 V262189:BZ262189 V327725:BZ327725 V393261:BZ393261 V458797:BZ458797 V524333:BZ524333 V589869:BZ589869 V655405:BZ655405 V720941:BZ720941 V786477:BZ786477 V852013:BZ852013 V917549:BZ917549">
      <formula1>kind_of_cons</formula1>
    </dataValidation>
    <dataValidation allowBlank="1" sqref="S131120:CA131126 S196656:CA196662 S262192:CA262198 S327728:CA327734 S393264:CA393270 S458800:CA458806 S524336:CA524342 S589872:CA589878 S655408:CA655414 S720944:CA720950 S786480:CA786486 S852016:CA852022 S917552:CA917558 S983088:CA983094 S65584:CA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BY524334 AI196654:BY196654 AI589870:BY589870 AI655406:BY655406 AI15 AI720942:BY720942 AI786478:BY786478 AI852014:BY852014 AI917550:BY917550 AI983086:BY983086 AI65582:BY65582 AI131118:BY131118 AI458798:BY458798 AI262190:BY262190 AI7 AN7 AP7 AU7 AW7 BB7 BD7 BI7 BK7 BP7 BR7 BW7 BY7 AG46 AI327726:BY327726 AG15 AG7 Z7 AB7 AI393262:BY393262 AI46 AN46 AP46 AU46 AW46 BB46 BD46 BI46 BK46 BP46 BR46 BW46 BY46 Z46 AB46 Z50 AB50 AG50 AI50 AN50 AP50 AU50 AW50 BB50 BD50 BI50 BK50 BP50 BR50 BW50 B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AT7 AV7 AT46 AV46 BA7 BC7 BA46 BC46 BH7 BJ7 BH46 BJ46 BO7 BQ7 BO46 BQ46 BV7 BX7 BV46 BX46 Y50 AA50 AF50 AH50 AM50 AO50 AT50 AV50 BA50 BC50 BH50 BJ50 BO50 BQ50 BV50 BX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A65576:CA65583 CA131112:CA131119 CA196648:CA196655 CA262184:CA262191 CA327720:CA327727 CA393256:CA393263 CA458792:CA458799 CA524328:CA524335 CA589864:CA589871 CA655400:CA655407 CA720936:CA720943 CA786472:CA786479 CA852008:CA852015 CA917544:CA917551 CA983080:CA983087 T46 T7 AC5:AI5 BZ5 AC44:AI44 BZ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AS8 AS47 AZ8 AZ47 BG8 BG47 BN8 BN47 BU8 BU47 X51 AE51 AL51 AS51 AZ51 BG51 BN51 BU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2C426-E237-9532-4468-FEEC55F2F6C7}" mc:Ignorable="x14ac xr xr2 xr3">
  <sheetPr>
    <tabColor theme="6" tint="0.4"/>
  </sheetPr>
  <dimension ref="A1:CN62"/>
  <sheetViews>
    <sheetView topLeftCell="A1" showGridLines="0" zoomScale="90" workbookViewId="0">
      <selection activeCell="BQ54" sqref="BQ54"/>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4.140625" hidden="1" customWidth="1"/>
    <col min="10" max="10" style="13221" width="9.8515625" hidden="1" customWidth="1"/>
    <col min="11" max="11" style="13221" width="14.7109375" hidden="1" customWidth="1"/>
    <col min="12" max="12" style="14071" width="19.140625" hidden="1" customWidth="1"/>
    <col min="13" max="14" style="14072" width="12.28125" hidden="1" customWidth="1"/>
    <col min="15" max="15" style="14072" width="23.421875" hidden="1" customWidth="1"/>
    <col min="16" max="16" style="14073" width="3.00390625" customWidth="1"/>
    <col min="17" max="18" style="14074" width="3.00390625" customWidth="1"/>
    <col min="19" max="19" style="14075" width="12.00390625" customWidth="1"/>
    <col min="20" max="20" style="13141" width="35.00390625" customWidth="1"/>
    <col min="21" max="21" style="13141" width="0.140625" customWidth="1"/>
    <col min="22" max="24" style="13141" width="24.7109375" hidden="1" customWidth="1"/>
    <col min="25" max="25" style="13141" width="11.7109375" hidden="1" customWidth="1"/>
    <col min="26" max="26" style="13141" width="3.7109375" hidden="1" customWidth="1"/>
    <col min="27" max="27" style="13141" width="11.7109375" hidden="1" customWidth="1"/>
    <col min="28" max="28" style="13141" width="8.57421875" hidden="1" customWidth="1"/>
    <col min="29" max="29" style="13141" width="24.7109375" customWidth="1"/>
    <col min="30" max="31" style="13141" width="24.00390625" customWidth="1"/>
    <col min="32" max="32" style="13141" width="11.00390625" customWidth="1"/>
    <col min="33" max="33" style="13141" width="3.7109375" customWidth="1"/>
    <col min="34" max="34" style="13141" width="11.00390625" customWidth="1"/>
    <col min="35" max="35" style="13141" width="8.57421875" customWidth="1"/>
    <col min="53" max="53" style="14670" width="11.28125" customWidth="1"/>
    <col min="77" max="77" style="14670" width="10.57421875"/>
    <col min="84" max="84" width="10.57421875" hidden="1"/>
    <col min="85" max="85" style="13141" width="4.00390625" customWidth="1"/>
    <col min="86" max="86" style="13141" width="115.00390625" customWidth="1"/>
    <col min="87" max="91" style="13222" width="10.00390625" customWidth="1"/>
    <col min="92" max="92" style="13141" width="10.57421875" hidden="1"/>
  </cols>
  <sheetData>
    <row customHeight="1" ht="22.5" hidden="1">
      <c r="X1" s="554"/>
      <c r="Y1" s="554"/>
      <c r="AE1" s="554"/>
      <c r="AF1" s="554"/>
      <c r="AJ1" s="4032"/>
      <c r="AK1" s="4032"/>
      <c r="AL1" s="4032"/>
      <c r="AM1" s="4032"/>
      <c r="AN1" s="4032"/>
      <c r="AO1" s="4032"/>
      <c r="AP1" s="4032"/>
      <c r="AQ1" s="4032"/>
      <c r="AR1" s="4032"/>
      <c r="AS1" s="4032"/>
      <c r="AT1" s="4032"/>
      <c r="AU1" s="4032"/>
      <c r="AV1" s="4032"/>
      <c r="AW1" s="4032"/>
      <c r="AX1" s="4032"/>
      <c r="AY1" s="4032"/>
      <c r="AZ1" s="4032"/>
      <c r="BA1" s="4032"/>
      <c r="BB1" s="4032"/>
      <c r="BC1" s="4032"/>
      <c r="BD1" s="4032"/>
      <c r="BE1" s="4032"/>
      <c r="BF1" s="4032"/>
      <c r="BG1" s="4032"/>
      <c r="BH1" s="4032"/>
      <c r="BI1" s="4032"/>
      <c r="BJ1" s="4032"/>
      <c r="BK1" s="4032"/>
      <c r="BL1" s="4032"/>
      <c r="BM1" s="4032"/>
      <c r="BN1" s="4032"/>
      <c r="BO1" s="4032"/>
      <c r="BP1" s="4032"/>
      <c r="BQ1" s="4032"/>
      <c r="BR1" s="4032"/>
      <c r="BS1" s="4032"/>
      <c r="BT1" s="4032"/>
      <c r="BU1" s="4032"/>
      <c r="BV1" s="4032"/>
      <c r="BW1" s="4032"/>
      <c r="BX1" s="4032"/>
      <c r="BY1" s="4032"/>
      <c r="BZ1" s="14671"/>
      <c r="CA1" s="14671"/>
      <c r="CB1" s="14671"/>
      <c r="CC1" s="14671"/>
      <c r="CD1" s="14671"/>
      <c r="CE1" s="14671"/>
      <c r="CF1" s="14671"/>
      <c r="CN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4034"/>
      <c r="AK2" s="4035"/>
      <c r="AL2" s="4035"/>
      <c r="AM2" s="4035"/>
      <c r="AN2" s="4035"/>
      <c r="AO2" s="4035"/>
      <c r="AP2" s="4036"/>
      <c r="AQ2" s="4034"/>
      <c r="AR2" s="4035"/>
      <c r="AS2" s="4035"/>
      <c r="AT2" s="4035"/>
      <c r="AU2" s="4035"/>
      <c r="AV2" s="4035"/>
      <c r="AW2" s="4036"/>
      <c r="AX2" s="4034"/>
      <c r="AY2" s="4035"/>
      <c r="AZ2" s="4035"/>
      <c r="BA2" s="4035"/>
      <c r="BB2" s="4035"/>
      <c r="BC2" s="4035"/>
      <c r="BD2" s="4036"/>
      <c r="BE2" s="4034"/>
      <c r="BF2" s="4035"/>
      <c r="BG2" s="4035"/>
      <c r="BH2" s="4035"/>
      <c r="BI2" s="4035"/>
      <c r="BJ2" s="4035"/>
      <c r="BK2" s="4036"/>
      <c r="BL2" s="4034"/>
      <c r="BM2" s="4035"/>
      <c r="BN2" s="4035"/>
      <c r="BO2" s="4035"/>
      <c r="BP2" s="4035"/>
      <c r="BQ2" s="4035"/>
      <c r="BR2" s="4036"/>
      <c r="BS2" s="4034"/>
      <c r="BT2" s="4035"/>
      <c r="BU2" s="4035"/>
      <c r="BV2" s="4035"/>
      <c r="BW2" s="4035"/>
      <c r="BX2" s="4035"/>
      <c r="BY2" s="4036"/>
      <c r="BZ2" s="14673"/>
      <c r="CA2" s="14674"/>
      <c r="CB2" s="14674"/>
      <c r="CC2" s="14674"/>
      <c r="CD2" s="14674"/>
      <c r="CE2" s="14674"/>
      <c r="CF2" s="14675"/>
      <c r="CG2" s="2471"/>
      <c r="CH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727"/>
      <c r="CK2" s="727" t="str">
        <f>IF(T2="","",T2)</f>
        <v>Наименование тарифа</v>
      </c>
      <c r="CL2" s="727"/>
      <c r="CM2" s="727"/>
      <c r="CN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4034"/>
      <c r="AK3" s="4035"/>
      <c r="AL3" s="4035"/>
      <c r="AM3" s="4035"/>
      <c r="AN3" s="4035"/>
      <c r="AO3" s="4035"/>
      <c r="AP3" s="4036"/>
      <c r="AQ3" s="4034"/>
      <c r="AR3" s="4035"/>
      <c r="AS3" s="4035"/>
      <c r="AT3" s="4035"/>
      <c r="AU3" s="4035"/>
      <c r="AV3" s="4035"/>
      <c r="AW3" s="4036"/>
      <c r="AX3" s="4034"/>
      <c r="AY3" s="4035"/>
      <c r="AZ3" s="4035"/>
      <c r="BA3" s="4035"/>
      <c r="BB3" s="4035"/>
      <c r="BC3" s="4035"/>
      <c r="BD3" s="4036"/>
      <c r="BE3" s="4034"/>
      <c r="BF3" s="4035"/>
      <c r="BG3" s="4035"/>
      <c r="BH3" s="4035"/>
      <c r="BI3" s="4035"/>
      <c r="BJ3" s="4035"/>
      <c r="BK3" s="4036"/>
      <c r="BL3" s="4034"/>
      <c r="BM3" s="4035"/>
      <c r="BN3" s="4035"/>
      <c r="BO3" s="4035"/>
      <c r="BP3" s="4035"/>
      <c r="BQ3" s="4035"/>
      <c r="BR3" s="4036"/>
      <c r="BS3" s="4034"/>
      <c r="BT3" s="4035"/>
      <c r="BU3" s="4035"/>
      <c r="BV3" s="4035"/>
      <c r="BW3" s="4035"/>
      <c r="BX3" s="4035"/>
      <c r="BY3" s="4036"/>
      <c r="BZ3" s="14673"/>
      <c r="CA3" s="14674"/>
      <c r="CB3" s="14674"/>
      <c r="CC3" s="14674"/>
      <c r="CD3" s="14674"/>
      <c r="CE3" s="14674"/>
      <c r="CF3" s="14675"/>
      <c r="CG3" s="2471"/>
      <c r="CH3" s="1485" t="s">
        <v>403</v>
      </c>
      <c r="CJ3" s="727"/>
      <c r="CK3" s="727" t="str">
        <f>IF(T3="","",T3)</f>
        <v>Территория действия тарифа</v>
      </c>
      <c r="CL3" s="727"/>
      <c r="CM3" s="727"/>
      <c r="CN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4034"/>
      <c r="AK4" s="4035"/>
      <c r="AL4" s="4035"/>
      <c r="AM4" s="4035"/>
      <c r="AN4" s="4035"/>
      <c r="AO4" s="4035"/>
      <c r="AP4" s="4036"/>
      <c r="AQ4" s="4034"/>
      <c r="AR4" s="4035"/>
      <c r="AS4" s="4035"/>
      <c r="AT4" s="4035"/>
      <c r="AU4" s="4035"/>
      <c r="AV4" s="4035"/>
      <c r="AW4" s="4036"/>
      <c r="AX4" s="4034"/>
      <c r="AY4" s="4035"/>
      <c r="AZ4" s="4035"/>
      <c r="BA4" s="4035"/>
      <c r="BB4" s="4035"/>
      <c r="BC4" s="4035"/>
      <c r="BD4" s="4036"/>
      <c r="BE4" s="4034"/>
      <c r="BF4" s="4035"/>
      <c r="BG4" s="4035"/>
      <c r="BH4" s="4035"/>
      <c r="BI4" s="4035"/>
      <c r="BJ4" s="4035"/>
      <c r="BK4" s="4036"/>
      <c r="BL4" s="4034"/>
      <c r="BM4" s="4035"/>
      <c r="BN4" s="4035"/>
      <c r="BO4" s="4035"/>
      <c r="BP4" s="4035"/>
      <c r="BQ4" s="4035"/>
      <c r="BR4" s="4036"/>
      <c r="BS4" s="4034"/>
      <c r="BT4" s="4035"/>
      <c r="BU4" s="4035"/>
      <c r="BV4" s="4035"/>
      <c r="BW4" s="4035"/>
      <c r="BX4" s="4035"/>
      <c r="BY4" s="4036"/>
      <c r="BZ4" s="14673"/>
      <c r="CA4" s="14674"/>
      <c r="CB4" s="14674"/>
      <c r="CC4" s="14674"/>
      <c r="CD4" s="14674"/>
      <c r="CE4" s="14674"/>
      <c r="CF4" s="14675"/>
      <c r="CG4" s="2471"/>
      <c r="CH4" s="1485" t="s">
        <v>484</v>
      </c>
      <c r="CJ4" s="727"/>
      <c r="CK4" s="727" t="str">
        <f>IF(T4="","",T4)</f>
        <v>Наименование централизованной системы холодного водоснабжения</v>
      </c>
      <c r="CL4" s="727"/>
      <c r="CM4" s="727"/>
      <c r="CN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4044"/>
      <c r="AK5" s="4045"/>
      <c r="AL5" s="4045"/>
      <c r="AM5" s="4045"/>
      <c r="AN5" s="4045"/>
      <c r="AO5" s="4045"/>
      <c r="AP5" s="4046"/>
      <c r="AQ5" s="4044"/>
      <c r="AR5" s="4045"/>
      <c r="AS5" s="4045"/>
      <c r="AT5" s="4045"/>
      <c r="AU5" s="4045"/>
      <c r="AV5" s="4045"/>
      <c r="AW5" s="4046"/>
      <c r="AX5" s="4044"/>
      <c r="AY5" s="4045"/>
      <c r="AZ5" s="4045"/>
      <c r="BA5" s="4045"/>
      <c r="BB5" s="4045"/>
      <c r="BC5" s="4045"/>
      <c r="BD5" s="4046"/>
      <c r="BE5" s="4044"/>
      <c r="BF5" s="4045"/>
      <c r="BG5" s="4045"/>
      <c r="BH5" s="4045"/>
      <c r="BI5" s="4045"/>
      <c r="BJ5" s="4045"/>
      <c r="BK5" s="4046"/>
      <c r="BL5" s="4044"/>
      <c r="BM5" s="4045"/>
      <c r="BN5" s="4045"/>
      <c r="BO5" s="4045"/>
      <c r="BP5" s="4045"/>
      <c r="BQ5" s="4045"/>
      <c r="BR5" s="4046"/>
      <c r="BS5" s="4044"/>
      <c r="BT5" s="4045"/>
      <c r="BU5" s="4045"/>
      <c r="BV5" s="4045"/>
      <c r="BW5" s="4045"/>
      <c r="BX5" s="4045"/>
      <c r="BY5" s="4046"/>
      <c r="BZ5" s="14678"/>
      <c r="CA5" s="14679"/>
      <c r="CB5" s="14679"/>
      <c r="CC5" s="14679"/>
      <c r="CD5" s="14679"/>
      <c r="CE5" s="14679"/>
      <c r="CF5" s="14680"/>
      <c r="CG5" s="2582"/>
      <c r="CH5" s="1485" t="s">
        <v>486</v>
      </c>
      <c r="CJ5" s="727"/>
      <c r="CK5" s="727" t="str">
        <f>IF(T5="","",T5)</f>
        <v>Наименование признака дифференциации</v>
      </c>
      <c r="CL5" s="727"/>
      <c r="CM5" s="727"/>
      <c r="CN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4048"/>
      <c r="AK6" s="4049"/>
      <c r="AL6" s="4049"/>
      <c r="AM6" s="4049"/>
      <c r="AN6" s="4049"/>
      <c r="AO6" s="4049"/>
      <c r="AP6" s="4050"/>
      <c r="AQ6" s="4048"/>
      <c r="AR6" s="4049"/>
      <c r="AS6" s="4049"/>
      <c r="AT6" s="4049"/>
      <c r="AU6" s="4049"/>
      <c r="AV6" s="4049"/>
      <c r="AW6" s="4050"/>
      <c r="AX6" s="4048"/>
      <c r="AY6" s="4049"/>
      <c r="AZ6" s="4049"/>
      <c r="BA6" s="4049"/>
      <c r="BB6" s="4049"/>
      <c r="BC6" s="4049"/>
      <c r="BD6" s="4050"/>
      <c r="BE6" s="4048"/>
      <c r="BF6" s="4049"/>
      <c r="BG6" s="4049"/>
      <c r="BH6" s="4049"/>
      <c r="BI6" s="4049"/>
      <c r="BJ6" s="4049"/>
      <c r="BK6" s="4050"/>
      <c r="BL6" s="4048"/>
      <c r="BM6" s="4049"/>
      <c r="BN6" s="4049"/>
      <c r="BO6" s="4049"/>
      <c r="BP6" s="4049"/>
      <c r="BQ6" s="4049"/>
      <c r="BR6" s="4050"/>
      <c r="BS6" s="4048"/>
      <c r="BT6" s="4049"/>
      <c r="BU6" s="4049"/>
      <c r="BV6" s="4049"/>
      <c r="BW6" s="4049"/>
      <c r="BX6" s="4049"/>
      <c r="BY6" s="4050"/>
      <c r="BZ6" s="14681"/>
      <c r="CA6" s="14682"/>
      <c r="CB6" s="14682"/>
      <c r="CC6" s="14682"/>
      <c r="CD6" s="14682"/>
      <c r="CE6" s="14682"/>
      <c r="CF6" s="14683"/>
      <c r="CG6" s="2474"/>
      <c r="CH6" s="1534" t="s">
        <v>487</v>
      </c>
      <c r="CJ6" s="727"/>
      <c r="CK6" s="727" t="str">
        <f>IF(T6="","",T6)</f>
        <v>Группа потребителей</v>
      </c>
      <c r="CL6" s="727"/>
      <c r="CM6" s="727"/>
      <c r="CN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4052"/>
      <c r="AK7" s="4052"/>
      <c r="AL7" s="4053"/>
      <c r="AM7" s="4054"/>
      <c r="AN7" s="4055" t="s">
        <v>66</v>
      </c>
      <c r="AO7" s="4054"/>
      <c r="AP7" s="4055" t="s">
        <v>66</v>
      </c>
      <c r="AQ7" s="4052"/>
      <c r="AR7" s="4052"/>
      <c r="AS7" s="4053"/>
      <c r="AT7" s="4054"/>
      <c r="AU7" s="4055" t="s">
        <v>66</v>
      </c>
      <c r="AV7" s="4054"/>
      <c r="AW7" s="4055" t="s">
        <v>66</v>
      </c>
      <c r="AX7" s="4052"/>
      <c r="AY7" s="4052"/>
      <c r="AZ7" s="4053"/>
      <c r="BA7" s="4054"/>
      <c r="BB7" s="4055" t="s">
        <v>66</v>
      </c>
      <c r="BC7" s="4054"/>
      <c r="BD7" s="4055" t="s">
        <v>66</v>
      </c>
      <c r="BE7" s="4052"/>
      <c r="BF7" s="4052"/>
      <c r="BG7" s="4053"/>
      <c r="BH7" s="4054"/>
      <c r="BI7" s="4055" t="s">
        <v>66</v>
      </c>
      <c r="BJ7" s="4054"/>
      <c r="BK7" s="4055" t="s">
        <v>66</v>
      </c>
      <c r="BL7" s="4052"/>
      <c r="BM7" s="4052"/>
      <c r="BN7" s="4053"/>
      <c r="BO7" s="4054"/>
      <c r="BP7" s="4055" t="s">
        <v>66</v>
      </c>
      <c r="BQ7" s="4054"/>
      <c r="BR7" s="4055" t="s">
        <v>66</v>
      </c>
      <c r="BS7" s="4052"/>
      <c r="BT7" s="4052"/>
      <c r="BU7" s="4053"/>
      <c r="BV7" s="4054"/>
      <c r="BW7" s="4055" t="s">
        <v>66</v>
      </c>
      <c r="BX7" s="4054"/>
      <c r="BY7" s="4055" t="s">
        <v>66</v>
      </c>
      <c r="BZ7" s="14684"/>
      <c r="CA7" s="14684"/>
      <c r="CB7" s="14685"/>
      <c r="CC7" s="14686"/>
      <c r="CD7" s="14687" t="s">
        <v>66</v>
      </c>
      <c r="CE7" s="14686"/>
      <c r="CF7" s="14687" t="s">
        <v>66</v>
      </c>
      <c r="CG7" s="1665"/>
      <c r="CH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738">
        <f>STRCHECKDATE(V8:CG8)</f>
      </c>
      <c r="CJ7" s="727"/>
      <c r="CK7" s="727" t="str">
        <f>IF(T7="","",T7)</f>
        <v/>
      </c>
      <c r="CL7" s="727"/>
      <c r="CM7" s="727"/>
      <c r="CN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4059"/>
      <c r="AK8" s="4059"/>
      <c r="AL8" s="4060" t="str">
        <f>AM7&amp;"-"&amp;AO7</f>
        <v>-</v>
      </c>
      <c r="AM8" s="4061"/>
      <c r="AN8" s="4055"/>
      <c r="AO8" s="4061"/>
      <c r="AP8" s="4055"/>
      <c r="AQ8" s="4059"/>
      <c r="AR8" s="4059"/>
      <c r="AS8" s="4060" t="str">
        <f>AT7&amp;"-"&amp;AV7</f>
        <v>-</v>
      </c>
      <c r="AT8" s="4061"/>
      <c r="AU8" s="4055"/>
      <c r="AV8" s="4061"/>
      <c r="AW8" s="4055"/>
      <c r="AX8" s="4059"/>
      <c r="AY8" s="4059"/>
      <c r="AZ8" s="4060" t="str">
        <f>BA7&amp;"-"&amp;BC7</f>
        <v>-</v>
      </c>
      <c r="BA8" s="4061"/>
      <c r="BB8" s="4055"/>
      <c r="BC8" s="4061"/>
      <c r="BD8" s="4055"/>
      <c r="BE8" s="4059"/>
      <c r="BF8" s="4059"/>
      <c r="BG8" s="4060" t="str">
        <f>BH7&amp;"-"&amp;BJ7</f>
        <v>-</v>
      </c>
      <c r="BH8" s="4061"/>
      <c r="BI8" s="4055"/>
      <c r="BJ8" s="4061"/>
      <c r="BK8" s="4055"/>
      <c r="BL8" s="4059"/>
      <c r="BM8" s="4059"/>
      <c r="BN8" s="4060" t="str">
        <f>BO7&amp;"-"&amp;BQ7</f>
        <v>-</v>
      </c>
      <c r="BO8" s="4061"/>
      <c r="BP8" s="4055"/>
      <c r="BQ8" s="4061"/>
      <c r="BR8" s="4055"/>
      <c r="BS8" s="4059"/>
      <c r="BT8" s="4059"/>
      <c r="BU8" s="4060" t="str">
        <f>BV7&amp;"-"&amp;BX7</f>
        <v>-</v>
      </c>
      <c r="BV8" s="4061"/>
      <c r="BW8" s="4055"/>
      <c r="BX8" s="4061"/>
      <c r="BY8" s="4055"/>
      <c r="BZ8" s="14689"/>
      <c r="CA8" s="14689"/>
      <c r="CB8" s="14690" t="str">
        <f>CC7&amp;"-"&amp;CE7</f>
        <v>-</v>
      </c>
      <c r="CC8" s="14691"/>
      <c r="CD8" s="14687"/>
      <c r="CE8" s="14691"/>
      <c r="CF8" s="14687"/>
      <c r="CG8" s="1666"/>
      <c r="CH8" s="2576"/>
      <c r="CJ8" s="727"/>
      <c r="CK8" s="727" t="str">
        <f>IF(T8="","",T8)</f>
        <v/>
      </c>
      <c r="CL8" s="727"/>
      <c r="CM8" s="727"/>
      <c r="CN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4447"/>
      <c r="AK9" s="4448"/>
      <c r="AL9" s="4449"/>
      <c r="AM9" s="4450"/>
      <c r="AN9" s="4451"/>
      <c r="AO9" s="4452"/>
      <c r="AP9" s="4453"/>
      <c r="AQ9" s="4454"/>
      <c r="AR9" s="4455"/>
      <c r="AS9" s="4456"/>
      <c r="AT9" s="4457"/>
      <c r="AU9" s="4458"/>
      <c r="AV9" s="4459"/>
      <c r="AW9" s="4460"/>
      <c r="AX9" s="4461"/>
      <c r="AY9" s="4462"/>
      <c r="AZ9" s="4463"/>
      <c r="BA9" s="4464"/>
      <c r="BB9" s="4465"/>
      <c r="BC9" s="4466"/>
      <c r="BD9" s="4467"/>
      <c r="BE9" s="4468"/>
      <c r="BF9" s="4469"/>
      <c r="BG9" s="4470"/>
      <c r="BH9" s="4471"/>
      <c r="BI9" s="4472"/>
      <c r="BJ9" s="4473"/>
      <c r="BK9" s="4474"/>
      <c r="BL9" s="4475"/>
      <c r="BM9" s="4476"/>
      <c r="BN9" s="4477"/>
      <c r="BO9" s="4478"/>
      <c r="BP9" s="4479"/>
      <c r="BQ9" s="4480"/>
      <c r="BR9" s="4481"/>
      <c r="BS9" s="4482"/>
      <c r="BT9" s="4483"/>
      <c r="BU9" s="4484"/>
      <c r="BV9" s="4485"/>
      <c r="BW9" s="4486"/>
      <c r="BX9" s="4487"/>
      <c r="BY9" s="4488"/>
      <c r="BZ9" s="14734"/>
      <c r="CA9" s="14735"/>
      <c r="CB9" s="14736"/>
      <c r="CC9" s="14737"/>
      <c r="CD9" s="14738"/>
      <c r="CE9" s="14739"/>
      <c r="CF9" s="14740"/>
      <c r="CG9" s="594"/>
      <c r="CH9" s="1485" t="s">
        <v>489</v>
      </c>
      <c r="CJ9" s="727"/>
      <c r="CK9" s="727" t="str">
        <f>IF(T9="","",T9)</f>
        <v>Добавить значение признака дифференциации</v>
      </c>
      <c r="CL9" s="727"/>
      <c r="CM9" s="727"/>
      <c r="CN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4489"/>
      <c r="AK10" s="4490"/>
      <c r="AL10" s="4491"/>
      <c r="AM10" s="4492"/>
      <c r="AN10" s="4493"/>
      <c r="AO10" s="4494"/>
      <c r="AP10" s="4495"/>
      <c r="AQ10" s="4496"/>
      <c r="AR10" s="4497"/>
      <c r="AS10" s="4498"/>
      <c r="AT10" s="4499"/>
      <c r="AU10" s="4500"/>
      <c r="AV10" s="4501"/>
      <c r="AW10" s="4502"/>
      <c r="AX10" s="4503"/>
      <c r="AY10" s="4504"/>
      <c r="AZ10" s="4505"/>
      <c r="BA10" s="4506"/>
      <c r="BB10" s="4507"/>
      <c r="BC10" s="4508"/>
      <c r="BD10" s="4509"/>
      <c r="BE10" s="4510"/>
      <c r="BF10" s="4511"/>
      <c r="BG10" s="4512"/>
      <c r="BH10" s="4513"/>
      <c r="BI10" s="4514"/>
      <c r="BJ10" s="4515"/>
      <c r="BK10" s="4516"/>
      <c r="BL10" s="4517"/>
      <c r="BM10" s="4518"/>
      <c r="BN10" s="4519"/>
      <c r="BO10" s="4520"/>
      <c r="BP10" s="4521"/>
      <c r="BQ10" s="4522"/>
      <c r="BR10" s="4523"/>
      <c r="BS10" s="4524"/>
      <c r="BT10" s="4525"/>
      <c r="BU10" s="4526"/>
      <c r="BV10" s="4527"/>
      <c r="BW10" s="4528"/>
      <c r="BX10" s="4529"/>
      <c r="BY10" s="4530"/>
      <c r="BZ10" s="14783"/>
      <c r="CA10" s="14784"/>
      <c r="CB10" s="14785"/>
      <c r="CC10" s="14786"/>
      <c r="CD10" s="14787"/>
      <c r="CE10" s="14788"/>
      <c r="CF10" s="14789"/>
      <c r="CG10" s="594"/>
      <c r="CH10" s="1667"/>
      <c r="CJ10" s="727"/>
      <c r="CK10" s="727" t="str">
        <f>IF(T10="","",T10)</f>
        <v>Добавить группу потребителей</v>
      </c>
      <c r="CL10" s="727"/>
      <c r="CM10" s="727"/>
      <c r="CN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4531"/>
      <c r="AK11" s="4532"/>
      <c r="AL11" s="4533"/>
      <c r="AM11" s="4534"/>
      <c r="AN11" s="4535"/>
      <c r="AO11" s="4536"/>
      <c r="AP11" s="4537"/>
      <c r="AQ11" s="4538"/>
      <c r="AR11" s="4539"/>
      <c r="AS11" s="4540"/>
      <c r="AT11" s="4541"/>
      <c r="AU11" s="4542"/>
      <c r="AV11" s="4543"/>
      <c r="AW11" s="4544"/>
      <c r="AX11" s="4545"/>
      <c r="AY11" s="4546"/>
      <c r="AZ11" s="4547"/>
      <c r="BA11" s="4548"/>
      <c r="BB11" s="4549"/>
      <c r="BC11" s="4550"/>
      <c r="BD11" s="4551"/>
      <c r="BE11" s="4552"/>
      <c r="BF11" s="4553"/>
      <c r="BG11" s="4554"/>
      <c r="BH11" s="4555"/>
      <c r="BI11" s="4556"/>
      <c r="BJ11" s="4557"/>
      <c r="BK11" s="4558"/>
      <c r="BL11" s="4559"/>
      <c r="BM11" s="4560"/>
      <c r="BN11" s="4561"/>
      <c r="BO11" s="4562"/>
      <c r="BP11" s="4563"/>
      <c r="BQ11" s="4564"/>
      <c r="BR11" s="4565"/>
      <c r="BS11" s="4566"/>
      <c r="BT11" s="4567"/>
      <c r="BU11" s="4568"/>
      <c r="BV11" s="4569"/>
      <c r="BW11" s="4570"/>
      <c r="BX11" s="4571"/>
      <c r="BY11" s="4572"/>
      <c r="BZ11" s="14832"/>
      <c r="CA11" s="14833"/>
      <c r="CB11" s="14834"/>
      <c r="CC11" s="14835"/>
      <c r="CD11" s="14836"/>
      <c r="CE11" s="14837"/>
      <c r="CF11" s="14838"/>
      <c r="CG11" s="594"/>
      <c r="CH11" s="530"/>
      <c r="CJ11" s="727"/>
      <c r="CK11" s="727" t="str">
        <f>IF(T11="","",T11)</f>
        <v>Добавить наименование признака дифференциации</v>
      </c>
      <c r="CL11" s="727"/>
      <c r="CM11" s="727"/>
      <c r="CN11" s="1382">
        <v>0</v>
      </c>
    </row>
    <row s="1322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229</v>
      </c>
      <c r="U12" s="1551"/>
      <c r="V12" s="1551"/>
      <c r="W12" s="1551"/>
      <c r="X12" s="1551"/>
      <c r="Y12" s="1551"/>
      <c r="Z12" s="1551"/>
      <c r="AA12" s="1551"/>
      <c r="AB12" s="1551"/>
      <c r="AC12" s="1551"/>
      <c r="AD12" s="1551"/>
      <c r="AE12" s="1551"/>
      <c r="AF12" s="1551"/>
      <c r="AG12" s="1551"/>
      <c r="AH12" s="1551"/>
      <c r="AI12" s="1551"/>
      <c r="AJ12" s="4192"/>
      <c r="AK12" s="4192"/>
      <c r="AL12" s="4192"/>
      <c r="AM12" s="4192"/>
      <c r="AN12" s="4192"/>
      <c r="AO12" s="4192"/>
      <c r="AP12" s="4192"/>
      <c r="AQ12" s="4192"/>
      <c r="AR12" s="4192"/>
      <c r="AS12" s="4192"/>
      <c r="AT12" s="4192"/>
      <c r="AU12" s="4192"/>
      <c r="AV12" s="4192"/>
      <c r="AW12" s="4192"/>
      <c r="AX12" s="4192"/>
      <c r="AY12" s="4192"/>
      <c r="AZ12" s="4192"/>
      <c r="BA12" s="4192"/>
      <c r="BB12" s="4192"/>
      <c r="BC12" s="4192"/>
      <c r="BD12" s="4192"/>
      <c r="BE12" s="4192"/>
      <c r="BF12" s="4192"/>
      <c r="BG12" s="4192"/>
      <c r="BH12" s="4192"/>
      <c r="BI12" s="4192"/>
      <c r="BJ12" s="4192"/>
      <c r="BK12" s="4192"/>
      <c r="BL12" s="4192"/>
      <c r="BM12" s="4192"/>
      <c r="BN12" s="4192"/>
      <c r="BO12" s="4192"/>
      <c r="BP12" s="4192"/>
      <c r="BQ12" s="4192"/>
      <c r="BR12" s="4192"/>
      <c r="BS12" s="4192"/>
      <c r="BT12" s="4192"/>
      <c r="BU12" s="4192"/>
      <c r="BV12" s="4192"/>
      <c r="BW12" s="4192"/>
      <c r="BX12" s="4192"/>
      <c r="BY12" s="4192"/>
      <c r="BZ12" s="14840"/>
      <c r="CA12" s="14840"/>
      <c r="CB12" s="14840"/>
      <c r="CC12" s="14840"/>
      <c r="CD12" s="14840"/>
      <c r="CE12" s="14840"/>
      <c r="CF12" s="14840"/>
      <c r="CG12" s="1551"/>
      <c r="CH12" s="1551"/>
      <c r="CJ12" s="1016"/>
      <c r="CK12" s="1016" t="str">
        <f>IF(T12="","",T12)</f>
        <v>Добавить централизованную систему для дифференциации</v>
      </c>
      <c r="CL12" s="1016"/>
      <c r="CM12" s="1016"/>
      <c r="CN12" s="745">
        <v>0</v>
      </c>
    </row>
    <row s="132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230</v>
      </c>
      <c r="U13" s="1551"/>
      <c r="V13" s="1551"/>
      <c r="W13" s="1551"/>
      <c r="X13" s="1551"/>
      <c r="Y13" s="1551"/>
      <c r="Z13" s="1551"/>
      <c r="AA13" s="1551"/>
      <c r="AB13" s="1551"/>
      <c r="AC13" s="1551"/>
      <c r="AD13" s="1551"/>
      <c r="AE13" s="1551"/>
      <c r="AF13" s="1551"/>
      <c r="AG13" s="1551"/>
      <c r="AH13" s="1551"/>
      <c r="AI13" s="1551"/>
      <c r="AJ13" s="4192"/>
      <c r="AK13" s="4192"/>
      <c r="AL13" s="4192"/>
      <c r="AM13" s="4192"/>
      <c r="AN13" s="4192"/>
      <c r="AO13" s="4192"/>
      <c r="AP13" s="4192"/>
      <c r="AQ13" s="4192"/>
      <c r="AR13" s="4192"/>
      <c r="AS13" s="4192"/>
      <c r="AT13" s="4192"/>
      <c r="AU13" s="4192"/>
      <c r="AV13" s="4192"/>
      <c r="AW13" s="4192"/>
      <c r="AX13" s="4192"/>
      <c r="AY13" s="4192"/>
      <c r="AZ13" s="4192"/>
      <c r="BA13" s="4192"/>
      <c r="BB13" s="4192"/>
      <c r="BC13" s="4192"/>
      <c r="BD13" s="4192"/>
      <c r="BE13" s="4192"/>
      <c r="BF13" s="4192"/>
      <c r="BG13" s="4192"/>
      <c r="BH13" s="4192"/>
      <c r="BI13" s="4192"/>
      <c r="BJ13" s="4192"/>
      <c r="BK13" s="4192"/>
      <c r="BL13" s="4192"/>
      <c r="BM13" s="4192"/>
      <c r="BN13" s="4192"/>
      <c r="BO13" s="4192"/>
      <c r="BP13" s="4192"/>
      <c r="BQ13" s="4192"/>
      <c r="BR13" s="4192"/>
      <c r="BS13" s="4192"/>
      <c r="BT13" s="4192"/>
      <c r="BU13" s="4192"/>
      <c r="BV13" s="4192"/>
      <c r="BW13" s="4192"/>
      <c r="BX13" s="4192"/>
      <c r="BY13" s="4192"/>
      <c r="BZ13" s="14840"/>
      <c r="CA13" s="14840"/>
      <c r="CB13" s="14840"/>
      <c r="CC13" s="14840"/>
      <c r="CD13" s="14840"/>
      <c r="CE13" s="14840"/>
      <c r="CF13" s="14840"/>
      <c r="CG13" s="1551"/>
      <c r="CH13" s="1551"/>
      <c r="CJ13" s="727"/>
      <c r="CK13" s="727" t="str">
        <f>IF(T13="","",T13)</f>
        <v>Добавить территорию для дифференциации</v>
      </c>
      <c r="CL13" s="727"/>
      <c r="CM13" s="727"/>
      <c r="CN13" s="738">
        <v>0</v>
      </c>
    </row>
    <row customHeight="1" ht="14.25" hidden="1">
      <c r="AB14" s="554"/>
      <c r="AI14" s="554"/>
      <c r="AJ14" s="4032"/>
      <c r="AK14" s="4032"/>
      <c r="AL14" s="4032"/>
      <c r="AM14" s="4032"/>
      <c r="AN14" s="4032"/>
      <c r="AO14" s="4032"/>
      <c r="AP14" s="4032"/>
      <c r="AQ14" s="4032"/>
      <c r="AR14" s="4032"/>
      <c r="AS14" s="4032"/>
      <c r="AT14" s="4032"/>
      <c r="AU14" s="4032"/>
      <c r="AV14" s="4032"/>
      <c r="AW14" s="4032"/>
      <c r="AX14" s="4032"/>
      <c r="AY14" s="4032"/>
      <c r="AZ14" s="4032"/>
      <c r="BA14" s="4032"/>
      <c r="BB14" s="4032"/>
      <c r="BC14" s="4032"/>
      <c r="BD14" s="4032"/>
      <c r="BE14" s="4032"/>
      <c r="BF14" s="4032"/>
      <c r="BG14" s="4032"/>
      <c r="BH14" s="4032"/>
      <c r="BI14" s="4032"/>
      <c r="BJ14" s="4032"/>
      <c r="BK14" s="4032"/>
      <c r="BL14" s="4032"/>
      <c r="BM14" s="4032"/>
      <c r="BN14" s="4032"/>
      <c r="BO14" s="4032"/>
      <c r="BP14" s="4032"/>
      <c r="BQ14" s="4032"/>
      <c r="BR14" s="4032"/>
      <c r="BS14" s="4032"/>
      <c r="BT14" s="4032"/>
      <c r="BU14" s="4032"/>
      <c r="BV14" s="4032"/>
      <c r="BW14" s="4032"/>
      <c r="BX14" s="4032"/>
      <c r="BY14" s="4032"/>
      <c r="BZ14" s="14671"/>
      <c r="CA14" s="14671"/>
      <c r="CB14" s="14671"/>
      <c r="CC14" s="14671"/>
      <c r="CD14" s="14671"/>
      <c r="CE14" s="14671"/>
      <c r="CF14" s="14671"/>
      <c r="CN14" s="1382">
        <v>0</v>
      </c>
    </row>
    <row customHeight="1" ht="14.25" hidden="1">
      <c r="AC15" s="1587"/>
      <c r="AD15" s="1587"/>
      <c r="AE15" s="1588"/>
      <c r="AF15" s="2494"/>
      <c r="AG15" s="2495" t="s">
        <v>66</v>
      </c>
      <c r="AH15" s="2494"/>
      <c r="AI15" s="2495" t="s">
        <v>66</v>
      </c>
      <c r="AJ15" s="4032"/>
      <c r="AK15" s="4032"/>
      <c r="AL15" s="4032"/>
      <c r="AM15" s="4032"/>
      <c r="AN15" s="4032"/>
      <c r="AO15" s="4032"/>
      <c r="AP15" s="4032"/>
      <c r="AQ15" s="4032"/>
      <c r="AR15" s="4032"/>
      <c r="AS15" s="4032"/>
      <c r="AT15" s="4032"/>
      <c r="AU15" s="4032"/>
      <c r="AV15" s="4032"/>
      <c r="AW15" s="4032"/>
      <c r="AX15" s="4032"/>
      <c r="AY15" s="4032"/>
      <c r="AZ15" s="4032"/>
      <c r="BA15" s="4032"/>
      <c r="BB15" s="4032"/>
      <c r="BC15" s="4032"/>
      <c r="BD15" s="4032"/>
      <c r="BE15" s="4032"/>
      <c r="BF15" s="4032"/>
      <c r="BG15" s="4032"/>
      <c r="BH15" s="4032"/>
      <c r="BI15" s="4032"/>
      <c r="BJ15" s="4032"/>
      <c r="BK15" s="4032"/>
      <c r="BL15" s="4032"/>
      <c r="BM15" s="4032"/>
      <c r="BN15" s="4032"/>
      <c r="BO15" s="4032"/>
      <c r="BP15" s="4032"/>
      <c r="BQ15" s="4032"/>
      <c r="BR15" s="4032"/>
      <c r="BS15" s="4032"/>
      <c r="BT15" s="4032"/>
      <c r="BU15" s="4032"/>
      <c r="BV15" s="4032"/>
      <c r="BW15" s="4032"/>
      <c r="BX15" s="4032"/>
      <c r="BY15" s="4032"/>
      <c r="BZ15" s="14671"/>
      <c r="CA15" s="14671"/>
      <c r="CB15" s="14671"/>
      <c r="CC15" s="14671"/>
      <c r="CD15" s="14671"/>
      <c r="CE15" s="14671"/>
      <c r="CF15" s="14671"/>
      <c r="CN15" s="1382">
        <v>0</v>
      </c>
    </row>
    <row customHeight="1" ht="14.25" hidden="1">
      <c r="AC16" s="1587"/>
      <c r="AD16" s="1587"/>
      <c r="AE16" s="555" t="str">
        <f>AF15&amp;"-"&amp;AH15</f>
        <v>-</v>
      </c>
      <c r="AF16" s="2495"/>
      <c r="AG16" s="2495"/>
      <c r="AH16" s="2495"/>
      <c r="AI16" s="2495"/>
      <c r="AJ16" s="4032"/>
      <c r="AK16" s="4032"/>
      <c r="AL16" s="4032"/>
      <c r="AM16" s="4032"/>
      <c r="AN16" s="4032"/>
      <c r="AO16" s="4032"/>
      <c r="AP16" s="4032"/>
      <c r="AQ16" s="4032"/>
      <c r="AR16" s="4032"/>
      <c r="AS16" s="4032"/>
      <c r="AT16" s="4032"/>
      <c r="AU16" s="4032"/>
      <c r="AV16" s="4032"/>
      <c r="AW16" s="4032"/>
      <c r="AX16" s="4032"/>
      <c r="AY16" s="4032"/>
      <c r="AZ16" s="4032"/>
      <c r="BA16" s="4032"/>
      <c r="BB16" s="4032"/>
      <c r="BC16" s="4032"/>
      <c r="BD16" s="4032"/>
      <c r="BE16" s="4032"/>
      <c r="BF16" s="4032"/>
      <c r="BG16" s="4032"/>
      <c r="BH16" s="4032"/>
      <c r="BI16" s="4032"/>
      <c r="BJ16" s="4032"/>
      <c r="BK16" s="4032"/>
      <c r="BL16" s="4032"/>
      <c r="BM16" s="4032"/>
      <c r="BN16" s="4032"/>
      <c r="BO16" s="4032"/>
      <c r="BP16" s="4032"/>
      <c r="BQ16" s="4032"/>
      <c r="BR16" s="4032"/>
      <c r="BS16" s="4032"/>
      <c r="BT16" s="4032"/>
      <c r="BU16" s="4032"/>
      <c r="BV16" s="4032"/>
      <c r="BW16" s="4032"/>
      <c r="BX16" s="4032"/>
      <c r="BY16" s="4032"/>
      <c r="BZ16" s="14671"/>
      <c r="CA16" s="14671"/>
      <c r="CB16" s="14671"/>
      <c r="CC16" s="14671"/>
      <c r="CD16" s="14671"/>
      <c r="CE16" s="14671"/>
      <c r="CF16" s="14671"/>
      <c r="CN16" s="1382">
        <v>0</v>
      </c>
    </row>
    <row customHeight="1" ht="14.25" hidden="1">
      <c r="AI17" s="554"/>
      <c r="AJ17" s="4032"/>
      <c r="AK17" s="4032"/>
      <c r="AL17" s="4032"/>
      <c r="AM17" s="4032"/>
      <c r="AN17" s="4032"/>
      <c r="AO17" s="4032"/>
      <c r="AP17" s="4032"/>
      <c r="AQ17" s="4032"/>
      <c r="AR17" s="4032"/>
      <c r="AS17" s="4032"/>
      <c r="AT17" s="4032"/>
      <c r="AU17" s="4032"/>
      <c r="AV17" s="4032"/>
      <c r="AW17" s="4032"/>
      <c r="AX17" s="4032"/>
      <c r="AY17" s="4032"/>
      <c r="AZ17" s="4032"/>
      <c r="BA17" s="4032"/>
      <c r="BB17" s="4032"/>
      <c r="BC17" s="4032"/>
      <c r="BD17" s="4032"/>
      <c r="BE17" s="4032"/>
      <c r="BF17" s="4032"/>
      <c r="BG17" s="4032"/>
      <c r="BH17" s="4032"/>
      <c r="BI17" s="4032"/>
      <c r="BJ17" s="4032"/>
      <c r="BK17" s="4032"/>
      <c r="BL17" s="4032"/>
      <c r="BM17" s="4032"/>
      <c r="BN17" s="4032"/>
      <c r="BO17" s="4032"/>
      <c r="BP17" s="4032"/>
      <c r="BQ17" s="4032"/>
      <c r="BR17" s="4032"/>
      <c r="BS17" s="4032"/>
      <c r="BT17" s="4032"/>
      <c r="BU17" s="4032"/>
      <c r="BV17" s="4032"/>
      <c r="BW17" s="4032"/>
      <c r="BX17" s="4032"/>
      <c r="BY17" s="4032"/>
      <c r="BZ17" s="14671"/>
      <c r="CA17" s="14671"/>
      <c r="CB17" s="14671"/>
      <c r="CC17" s="14671"/>
      <c r="CD17" s="14671"/>
      <c r="CE17" s="14671"/>
      <c r="CF17" s="14671"/>
      <c r="CN17" s="1382">
        <v>0</v>
      </c>
    </row>
    <row s="13221" customFormat="1" customHeight="1" ht="22.5" hidden="1">
      <c r="L18" s="1674"/>
      <c r="M18" s="1589"/>
      <c r="N18" s="1589"/>
      <c r="O18" s="1594" t="s">
        <v>420</v>
      </c>
      <c r="P18" s="1589"/>
      <c r="Q18" s="1598"/>
      <c r="R18" s="1598"/>
      <c r="S18" s="956"/>
      <c r="Y18" s="1594"/>
      <c r="AA18" s="1594"/>
      <c r="AB18" s="1593"/>
      <c r="AF18" s="1594"/>
      <c r="AH18" s="1594"/>
      <c r="AI18" s="1593"/>
      <c r="AJ18" s="4194"/>
      <c r="AK18" s="4194"/>
      <c r="AL18" s="4194"/>
      <c r="AM18" s="4195"/>
      <c r="AN18" s="4194"/>
      <c r="AO18" s="4195"/>
      <c r="AP18" s="4194"/>
      <c r="AQ18" s="4194"/>
      <c r="AR18" s="4194"/>
      <c r="AS18" s="4194"/>
      <c r="AT18" s="4195"/>
      <c r="AU18" s="4194"/>
      <c r="AV18" s="4195"/>
      <c r="AW18" s="4194"/>
      <c r="AX18" s="4194"/>
      <c r="AY18" s="4194"/>
      <c r="AZ18" s="4194"/>
      <c r="BA18" s="4195"/>
      <c r="BB18" s="4194"/>
      <c r="BC18" s="4195"/>
      <c r="BD18" s="4194"/>
      <c r="BE18" s="4194"/>
      <c r="BF18" s="4194"/>
      <c r="BG18" s="4194"/>
      <c r="BH18" s="4195"/>
      <c r="BI18" s="4194"/>
      <c r="BJ18" s="4195"/>
      <c r="BK18" s="4194"/>
      <c r="BL18" s="4194"/>
      <c r="BM18" s="4194"/>
      <c r="BN18" s="4194"/>
      <c r="BO18" s="4195"/>
      <c r="BP18" s="4194"/>
      <c r="BQ18" s="4195"/>
      <c r="BR18" s="4194"/>
      <c r="BS18" s="4194"/>
      <c r="BT18" s="4194"/>
      <c r="BU18" s="4194"/>
      <c r="BV18" s="4195"/>
      <c r="BW18" s="4194"/>
      <c r="BX18" s="4195"/>
      <c r="BY18" s="4194"/>
      <c r="BZ18" s="14842"/>
      <c r="CA18" s="14842"/>
      <c r="CB18" s="14842"/>
      <c r="CC18" s="14843"/>
      <c r="CD18" s="14842"/>
      <c r="CE18" s="14843"/>
      <c r="CF18" s="14842"/>
      <c r="CI18" s="738"/>
      <c r="CJ18" s="738"/>
      <c r="CK18" s="738"/>
      <c r="CL18" s="738"/>
      <c r="CM18" s="738"/>
      <c r="CN18" s="1387">
        <v>0</v>
      </c>
    </row>
    <row s="13221" customFormat="1" customHeight="1" ht="14.25" hidden="1">
      <c r="L19" s="1674"/>
      <c r="M19" s="1589"/>
      <c r="N19" s="1589"/>
      <c r="O19" s="1589"/>
      <c r="P19" s="1589"/>
      <c r="Q19" s="1598"/>
      <c r="R19" s="1598"/>
      <c r="S19" s="956"/>
      <c r="AB19" s="1593"/>
      <c r="AI19" s="1593"/>
      <c r="AJ19" s="4194"/>
      <c r="AK19" s="4194"/>
      <c r="AL19" s="4194"/>
      <c r="AM19" s="4194"/>
      <c r="AN19" s="4194"/>
      <c r="AO19" s="4194"/>
      <c r="AP19" s="4194"/>
      <c r="AQ19" s="4194"/>
      <c r="AR19" s="4194"/>
      <c r="AS19" s="4194"/>
      <c r="AT19" s="4194"/>
      <c r="AU19" s="4194"/>
      <c r="AV19" s="4194"/>
      <c r="AW19" s="4194"/>
      <c r="AX19" s="4194"/>
      <c r="AY19" s="4194"/>
      <c r="AZ19" s="4194"/>
      <c r="BA19" s="4194"/>
      <c r="BB19" s="4194"/>
      <c r="BC19" s="4194"/>
      <c r="BD19" s="4194"/>
      <c r="BE19" s="4194"/>
      <c r="BF19" s="4194"/>
      <c r="BG19" s="4194"/>
      <c r="BH19" s="4194"/>
      <c r="BI19" s="4194"/>
      <c r="BJ19" s="4194"/>
      <c r="BK19" s="4194"/>
      <c r="BL19" s="4194"/>
      <c r="BM19" s="4194"/>
      <c r="BN19" s="4194"/>
      <c r="BO19" s="4194"/>
      <c r="BP19" s="4194"/>
      <c r="BQ19" s="4194"/>
      <c r="BR19" s="4194"/>
      <c r="BS19" s="4194"/>
      <c r="BT19" s="4194"/>
      <c r="BU19" s="4194"/>
      <c r="BV19" s="4194"/>
      <c r="BW19" s="4194"/>
      <c r="BX19" s="4194"/>
      <c r="BY19" s="4194"/>
      <c r="BZ19" s="14842"/>
      <c r="CA19" s="14842"/>
      <c r="CB19" s="14842"/>
      <c r="CC19" s="14842"/>
      <c r="CD19" s="14842"/>
      <c r="CE19" s="14842"/>
      <c r="CF19" s="14842"/>
      <c r="CI19" s="738"/>
      <c r="CJ19" s="738"/>
      <c r="CK19" s="738"/>
      <c r="CL19" s="738"/>
      <c r="CM19" s="738"/>
      <c r="CN19" s="1387">
        <v>0</v>
      </c>
    </row>
    <row s="13221"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J20" s="4194"/>
      <c r="AK20" s="4194"/>
      <c r="AL20" s="4194"/>
      <c r="AM20" s="4194"/>
      <c r="AN20" s="4197" t="s">
        <v>423</v>
      </c>
      <c r="AO20" s="4194"/>
      <c r="AP20" s="4197" t="s">
        <v>424</v>
      </c>
      <c r="AQ20" s="4194"/>
      <c r="AR20" s="4194"/>
      <c r="AS20" s="4194"/>
      <c r="AT20" s="4194"/>
      <c r="AU20" s="4197" t="s">
        <v>423</v>
      </c>
      <c r="AV20" s="4194"/>
      <c r="AW20" s="4197" t="s">
        <v>424</v>
      </c>
      <c r="AX20" s="4194"/>
      <c r="AY20" s="4194"/>
      <c r="AZ20" s="4194"/>
      <c r="BA20" s="4194"/>
      <c r="BB20" s="4197" t="s">
        <v>423</v>
      </c>
      <c r="BC20" s="4194"/>
      <c r="BD20" s="4197" t="s">
        <v>424</v>
      </c>
      <c r="BE20" s="4194"/>
      <c r="BF20" s="4194"/>
      <c r="BG20" s="4194"/>
      <c r="BH20" s="4194"/>
      <c r="BI20" s="4197" t="s">
        <v>423</v>
      </c>
      <c r="BJ20" s="4194"/>
      <c r="BK20" s="4197" t="s">
        <v>424</v>
      </c>
      <c r="BL20" s="4194"/>
      <c r="BM20" s="4194"/>
      <c r="BN20" s="4194"/>
      <c r="BO20" s="4194"/>
      <c r="BP20" s="4197" t="s">
        <v>423</v>
      </c>
      <c r="BQ20" s="4194"/>
      <c r="BR20" s="4197" t="s">
        <v>424</v>
      </c>
      <c r="BS20" s="4194"/>
      <c r="BT20" s="4194"/>
      <c r="BU20" s="4194"/>
      <c r="BV20" s="4194"/>
      <c r="BW20" s="4197" t="s">
        <v>423</v>
      </c>
      <c r="BX20" s="4194"/>
      <c r="BY20" s="4197" t="s">
        <v>424</v>
      </c>
      <c r="BZ20" s="14842"/>
      <c r="CA20" s="14842"/>
      <c r="CB20" s="14842"/>
      <c r="CC20" s="14842"/>
      <c r="CD20" s="14844" t="s">
        <v>423</v>
      </c>
      <c r="CE20" s="14842"/>
      <c r="CF20" s="14844" t="s">
        <v>424</v>
      </c>
      <c r="CN20" s="1387">
        <v>0</v>
      </c>
    </row>
    <row customHeight="1" ht="14.25" hidden="1">
      <c r="O21" s="1591"/>
      <c r="AJ21" s="4032"/>
      <c r="AK21" s="4032"/>
      <c r="AL21" s="4032"/>
      <c r="AM21" s="4032"/>
      <c r="AN21" s="4032"/>
      <c r="AO21" s="4032"/>
      <c r="AP21" s="4032"/>
      <c r="AQ21" s="4032"/>
      <c r="AR21" s="4032"/>
      <c r="AS21" s="4032"/>
      <c r="AT21" s="4032"/>
      <c r="AU21" s="4032"/>
      <c r="AV21" s="4032"/>
      <c r="AW21" s="4032"/>
      <c r="AX21" s="4032"/>
      <c r="AY21" s="4032"/>
      <c r="AZ21" s="4032"/>
      <c r="BA21" s="4032"/>
      <c r="BB21" s="4032"/>
      <c r="BC21" s="4032"/>
      <c r="BD21" s="4032"/>
      <c r="BE21" s="4032"/>
      <c r="BF21" s="4032"/>
      <c r="BG21" s="4032"/>
      <c r="BH21" s="4032"/>
      <c r="BI21" s="4032"/>
      <c r="BJ21" s="4032"/>
      <c r="BK21" s="4032"/>
      <c r="BL21" s="4032"/>
      <c r="BM21" s="4032"/>
      <c r="BN21" s="4032"/>
      <c r="BO21" s="4032"/>
      <c r="BP21" s="4032"/>
      <c r="BQ21" s="4032"/>
      <c r="BR21" s="4032"/>
      <c r="BS21" s="4032"/>
      <c r="BT21" s="4032"/>
      <c r="BU21" s="4032"/>
      <c r="BV21" s="4032"/>
      <c r="BW21" s="4032"/>
      <c r="BX21" s="4032"/>
      <c r="BY21" s="4032"/>
      <c r="BZ21" s="14671"/>
      <c r="CA21" s="14671"/>
      <c r="CB21" s="14671"/>
      <c r="CC21" s="14671"/>
      <c r="CD21" s="14671"/>
      <c r="CE21" s="14671"/>
      <c r="CF21" s="14671"/>
      <c r="CN21" s="1382">
        <v>0</v>
      </c>
    </row>
    <row customHeight="1" ht="14.25" hidden="1">
      <c r="O22" s="1591"/>
      <c r="AJ22" s="4032"/>
      <c r="AK22" s="4032"/>
      <c r="AL22" s="4032"/>
      <c r="AM22" s="4032"/>
      <c r="AN22" s="4032"/>
      <c r="AO22" s="4032"/>
      <c r="AP22" s="4032"/>
      <c r="AQ22" s="4032"/>
      <c r="AR22" s="4032"/>
      <c r="AS22" s="4032"/>
      <c r="AT22" s="4032"/>
      <c r="AU22" s="4032"/>
      <c r="AV22" s="4032"/>
      <c r="AW22" s="4032"/>
      <c r="AX22" s="4032"/>
      <c r="AY22" s="4032"/>
      <c r="AZ22" s="4032"/>
      <c r="BA22" s="4032"/>
      <c r="BB22" s="4032"/>
      <c r="BC22" s="4032"/>
      <c r="BD22" s="4032"/>
      <c r="BE22" s="4032"/>
      <c r="BF22" s="4032"/>
      <c r="BG22" s="4032"/>
      <c r="BH22" s="4032"/>
      <c r="BI22" s="4032"/>
      <c r="BJ22" s="4032"/>
      <c r="BK22" s="4032"/>
      <c r="BL22" s="4032"/>
      <c r="BM22" s="4032"/>
      <c r="BN22" s="4032"/>
      <c r="BO22" s="4032"/>
      <c r="BP22" s="4032"/>
      <c r="BQ22" s="4032"/>
      <c r="BR22" s="4032"/>
      <c r="BS22" s="4032"/>
      <c r="BT22" s="4032"/>
      <c r="BU22" s="4032"/>
      <c r="BV22" s="4032"/>
      <c r="BW22" s="4032"/>
      <c r="BX22" s="4032"/>
      <c r="BY22" s="4032"/>
      <c r="BZ22" s="14671"/>
      <c r="CA22" s="14671"/>
      <c r="CB22" s="14671"/>
      <c r="CC22" s="14671"/>
      <c r="CD22" s="14671"/>
      <c r="CE22" s="14671"/>
      <c r="CF22" s="14671"/>
      <c r="CN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J23" s="4032"/>
      <c r="AK23" s="4032"/>
      <c r="AL23" s="4032"/>
      <c r="AM23" s="4032"/>
      <c r="AN23" s="4032"/>
      <c r="AO23" s="4032"/>
      <c r="AP23" s="4032"/>
      <c r="AQ23" s="4032"/>
      <c r="AR23" s="4032"/>
      <c r="AS23" s="4032"/>
      <c r="AT23" s="4032"/>
      <c r="AU23" s="4032"/>
      <c r="AV23" s="4032"/>
      <c r="AW23" s="4032"/>
      <c r="AX23" s="4032"/>
      <c r="AY23" s="4032"/>
      <c r="AZ23" s="4032"/>
      <c r="BA23" s="4032"/>
      <c r="BB23" s="4032"/>
      <c r="BC23" s="4032"/>
      <c r="BD23" s="4032"/>
      <c r="BE23" s="4032"/>
      <c r="BF23" s="4032"/>
      <c r="BG23" s="4032"/>
      <c r="BH23" s="4032"/>
      <c r="BI23" s="4032"/>
      <c r="BJ23" s="4032"/>
      <c r="BK23" s="4032"/>
      <c r="BL23" s="4032"/>
      <c r="BM23" s="4032"/>
      <c r="BN23" s="4032"/>
      <c r="BO23" s="4032"/>
      <c r="BP23" s="4032"/>
      <c r="BQ23" s="4032"/>
      <c r="BR23" s="4032"/>
      <c r="BS23" s="4032"/>
      <c r="BT23" s="4032"/>
      <c r="BU23" s="4032"/>
      <c r="BV23" s="4032"/>
      <c r="BW23" s="4032"/>
      <c r="BX23" s="4032"/>
      <c r="BY23" s="4032"/>
      <c r="BZ23" s="14671"/>
      <c r="CA23" s="14671"/>
      <c r="CB23" s="14671"/>
      <c r="CC23" s="14671"/>
      <c r="CD23" s="14671"/>
      <c r="CE23" s="14671"/>
      <c r="CF23" s="14671"/>
      <c r="CN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J24" s="4198"/>
      <c r="AK24" s="4198"/>
      <c r="AL24" s="4198"/>
      <c r="AM24" s="4198"/>
      <c r="AN24" s="4198"/>
      <c r="AO24" s="4198"/>
      <c r="AP24" s="4198"/>
      <c r="AQ24" s="4198"/>
      <c r="AR24" s="4198"/>
      <c r="AS24" s="4198"/>
      <c r="AT24" s="4198"/>
      <c r="AU24" s="4198"/>
      <c r="AV24" s="4198"/>
      <c r="AW24" s="4198"/>
      <c r="AX24" s="4198"/>
      <c r="AY24" s="4198"/>
      <c r="AZ24" s="4198"/>
      <c r="BA24" s="4198"/>
      <c r="BB24" s="4198"/>
      <c r="BC24" s="4198"/>
      <c r="BD24" s="4198"/>
      <c r="BE24" s="4198"/>
      <c r="BF24" s="4198"/>
      <c r="BG24" s="4198"/>
      <c r="BH24" s="4198"/>
      <c r="BI24" s="4198"/>
      <c r="BJ24" s="4198"/>
      <c r="BK24" s="4198"/>
      <c r="BL24" s="4198"/>
      <c r="BM24" s="4198"/>
      <c r="BN24" s="4198"/>
      <c r="BO24" s="4198"/>
      <c r="BP24" s="4198"/>
      <c r="BQ24" s="4198"/>
      <c r="BR24" s="4198"/>
      <c r="BS24" s="4198"/>
      <c r="BT24" s="4198"/>
      <c r="BU24" s="4198"/>
      <c r="BV24" s="4198"/>
      <c r="BW24" s="4198"/>
      <c r="BX24" s="4198"/>
      <c r="BY24" s="4198"/>
      <c r="BZ24" s="14845"/>
      <c r="CA24" s="14845"/>
      <c r="CB24" s="14845"/>
      <c r="CC24" s="14845"/>
      <c r="CD24" s="14845"/>
      <c r="CE24" s="14845"/>
      <c r="CF24" s="14845"/>
      <c r="CN24" s="1382">
        <v>14</v>
      </c>
    </row>
    <row customHeight="1" ht="14.699999999999998">
      <c r="Q25" s="603"/>
      <c r="R25" s="603"/>
      <c r="S25" s="2476" t="str">
        <f>IF(org=0,"Не определено",org)</f>
        <v>МУП "Уссурийск-Водоканал"</v>
      </c>
      <c r="T25" s="2476"/>
      <c r="U25" s="2476"/>
      <c r="V25" s="2476"/>
      <c r="W25" s="2476"/>
      <c r="X25" s="2476"/>
      <c r="Y25" s="2476"/>
      <c r="Z25" s="2476"/>
      <c r="AA25" s="2476"/>
      <c r="AB25" s="2476"/>
      <c r="AC25" s="2476"/>
      <c r="AD25" s="2476"/>
      <c r="AE25" s="2476"/>
      <c r="AF25" s="2476"/>
      <c r="AG25" s="2476"/>
      <c r="AH25" s="2476"/>
      <c r="AI25" s="1470"/>
      <c r="AJ25" s="4199"/>
      <c r="AK25" s="4199"/>
      <c r="AL25" s="4199"/>
      <c r="AM25" s="4199"/>
      <c r="AN25" s="4199"/>
      <c r="AO25" s="4199"/>
      <c r="AP25" s="4199"/>
      <c r="AQ25" s="4199"/>
      <c r="AR25" s="4199"/>
      <c r="AS25" s="4199"/>
      <c r="AT25" s="4199"/>
      <c r="AU25" s="4199"/>
      <c r="AV25" s="4199"/>
      <c r="AW25" s="4199"/>
      <c r="AX25" s="4199"/>
      <c r="AY25" s="4199"/>
      <c r="AZ25" s="4199"/>
      <c r="BA25" s="4199"/>
      <c r="BB25" s="4199"/>
      <c r="BC25" s="4199"/>
      <c r="BD25" s="4199"/>
      <c r="BE25" s="4199"/>
      <c r="BF25" s="4199"/>
      <c r="BG25" s="4199"/>
      <c r="BH25" s="4199"/>
      <c r="BI25" s="4199"/>
      <c r="BJ25" s="4199"/>
      <c r="BK25" s="4199"/>
      <c r="BL25" s="4199"/>
      <c r="BM25" s="4199"/>
      <c r="BN25" s="4199"/>
      <c r="BO25" s="4199"/>
      <c r="BP25" s="4199"/>
      <c r="BQ25" s="4199"/>
      <c r="BR25" s="4199"/>
      <c r="BS25" s="4199"/>
      <c r="BT25" s="4199"/>
      <c r="BU25" s="4199"/>
      <c r="BV25" s="4199"/>
      <c r="BW25" s="4199"/>
      <c r="BX25" s="4199"/>
      <c r="BY25" s="4199"/>
      <c r="BZ25" s="14846"/>
      <c r="CA25" s="14846"/>
      <c r="CB25" s="14846"/>
      <c r="CC25" s="14846"/>
      <c r="CD25" s="14846"/>
      <c r="CE25" s="14846"/>
      <c r="CF25" s="14846"/>
      <c r="CN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4200"/>
      <c r="AK26" s="4200"/>
      <c r="AL26" s="4200"/>
      <c r="AM26" s="4200"/>
      <c r="AN26" s="4200"/>
      <c r="AO26" s="4200"/>
      <c r="AP26" s="4200"/>
      <c r="AQ26" s="4200"/>
      <c r="AR26" s="4200"/>
      <c r="AS26" s="4200"/>
      <c r="AT26" s="4200"/>
      <c r="AU26" s="4200"/>
      <c r="AV26" s="4200"/>
      <c r="AW26" s="4200"/>
      <c r="AX26" s="4200"/>
      <c r="AY26" s="4200"/>
      <c r="AZ26" s="4200"/>
      <c r="BA26" s="4200"/>
      <c r="BB26" s="4200"/>
      <c r="BC26" s="4200"/>
      <c r="BD26" s="4200"/>
      <c r="BE26" s="4200"/>
      <c r="BF26" s="4200"/>
      <c r="BG26" s="4200"/>
      <c r="BH26" s="4200"/>
      <c r="BI26" s="4200"/>
      <c r="BJ26" s="4200"/>
      <c r="BK26" s="4200"/>
      <c r="BL26" s="4200"/>
      <c r="BM26" s="4200"/>
      <c r="BN26" s="4200"/>
      <c r="BO26" s="4200"/>
      <c r="BP26" s="4200"/>
      <c r="BQ26" s="4200"/>
      <c r="BR26" s="4200"/>
      <c r="BS26" s="4200"/>
      <c r="BT26" s="4200"/>
      <c r="BU26" s="4200"/>
      <c r="BV26" s="4200"/>
      <c r="BW26" s="4200"/>
      <c r="BX26" s="4200"/>
      <c r="BY26" s="4200"/>
      <c r="BZ26" s="14847"/>
      <c r="CA26" s="14847"/>
      <c r="CB26" s="14847"/>
      <c r="CC26" s="14847"/>
      <c r="CD26" s="14847"/>
      <c r="CE26" s="14847"/>
      <c r="CF26" s="14847"/>
      <c r="CG26" s="736"/>
      <c r="CN26" s="1382">
        <v>0</v>
      </c>
    </row>
    <row s="1334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4201" t="str">
        <f>IF(TITLE_NAME_OR_PR_CHANGE="",IF(TITLE_NAME_OR_PR="","",TITLE_NAME_OR_PR),TITLE_NAME_OR_PR_CHANGE)</f>
        <v/>
      </c>
      <c r="AK27" s="4201"/>
      <c r="AL27" s="4201"/>
      <c r="AM27" s="4201"/>
      <c r="AN27" s="4201"/>
      <c r="AO27" s="4201"/>
      <c r="AP27" s="4032"/>
      <c r="AQ27" s="4201" t="str">
        <f>IF(TITLE_NAME_OR_PR_CHANGE="",IF(TITLE_NAME_OR_PR="","",TITLE_NAME_OR_PR),TITLE_NAME_OR_PR_CHANGE)</f>
        <v/>
      </c>
      <c r="AR27" s="4201"/>
      <c r="AS27" s="4201"/>
      <c r="AT27" s="4201"/>
      <c r="AU27" s="4201"/>
      <c r="AV27" s="4201"/>
      <c r="AW27" s="4032"/>
      <c r="AX27" s="4201" t="str">
        <f>IF(TITLE_NAME_OR_PR_CHANGE="",IF(TITLE_NAME_OR_PR="","",TITLE_NAME_OR_PR),TITLE_NAME_OR_PR_CHANGE)</f>
        <v/>
      </c>
      <c r="AY27" s="4201"/>
      <c r="AZ27" s="4201"/>
      <c r="BA27" s="4201"/>
      <c r="BB27" s="4201"/>
      <c r="BC27" s="4201"/>
      <c r="BD27" s="4032"/>
      <c r="BE27" s="4201" t="str">
        <f>IF(TITLE_NAME_OR_PR_CHANGE="",IF(TITLE_NAME_OR_PR="","",TITLE_NAME_OR_PR),TITLE_NAME_OR_PR_CHANGE)</f>
        <v/>
      </c>
      <c r="BF27" s="4201"/>
      <c r="BG27" s="4201"/>
      <c r="BH27" s="4201"/>
      <c r="BI27" s="4201"/>
      <c r="BJ27" s="4201"/>
      <c r="BK27" s="4032"/>
      <c r="BL27" s="4201" t="str">
        <f>IF(TITLE_NAME_OR_PR_CHANGE="",IF(TITLE_NAME_OR_PR="","",TITLE_NAME_OR_PR),TITLE_NAME_OR_PR_CHANGE)</f>
        <v/>
      </c>
      <c r="BM27" s="4201"/>
      <c r="BN27" s="4201"/>
      <c r="BO27" s="4201"/>
      <c r="BP27" s="4201"/>
      <c r="BQ27" s="4201"/>
      <c r="BR27" s="4032"/>
      <c r="BS27" s="4201" t="str">
        <f>IF(TITLE_NAME_OR_PR_CHANGE="",IF(TITLE_NAME_OR_PR="","",TITLE_NAME_OR_PR),TITLE_NAME_OR_PR_CHANGE)</f>
        <v/>
      </c>
      <c r="BT27" s="4201"/>
      <c r="BU27" s="4201"/>
      <c r="BV27" s="4201"/>
      <c r="BW27" s="4201"/>
      <c r="BX27" s="4201"/>
      <c r="BY27" s="4032"/>
      <c r="BZ27" s="14848" t="str">
        <f>IF(TITLE_NAME_OR_PR_CHANGE="",IF(TITLE_NAME_OR_PR="","",TITLE_NAME_OR_PR),TITLE_NAME_OR_PR_CHANGE)</f>
        <v/>
      </c>
      <c r="CA27" s="14848"/>
      <c r="CB27" s="14848"/>
      <c r="CC27" s="14848"/>
      <c r="CD27" s="14848"/>
      <c r="CE27" s="14848"/>
      <c r="CF27" s="14671"/>
      <c r="CG27" s="553"/>
      <c r="CH27" s="507"/>
      <c r="CI27" s="595"/>
      <c r="CJ27" s="595"/>
      <c r="CK27" s="595"/>
      <c r="CL27" s="595"/>
      <c r="CM27" s="595"/>
      <c r="CN27" s="645">
        <v>0</v>
      </c>
    </row>
    <row s="13348"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4202" t="str">
        <f>IF(TITLE_DATE_PR_CHANGE="",IF(TITLE_DATE_PR="","",TITLE_DATE_PR),TITLE_DATE_PR_CHANGE)</f>
        <v>45408</v>
      </c>
      <c r="AK28" s="4202"/>
      <c r="AL28" s="4202"/>
      <c r="AM28" s="4202"/>
      <c r="AN28" s="4202"/>
      <c r="AO28" s="4202"/>
      <c r="AP28" s="4032"/>
      <c r="AQ28" s="4202" t="str">
        <f>IF(TITLE_DATE_PR_CHANGE="",IF(TITLE_DATE_PR="","",TITLE_DATE_PR),TITLE_DATE_PR_CHANGE)</f>
        <v>45408</v>
      </c>
      <c r="AR28" s="4202"/>
      <c r="AS28" s="4202"/>
      <c r="AT28" s="4202"/>
      <c r="AU28" s="4202"/>
      <c r="AV28" s="4202"/>
      <c r="AW28" s="4032"/>
      <c r="AX28" s="4202" t="str">
        <f>IF(TITLE_DATE_PR_CHANGE="",IF(TITLE_DATE_PR="","",TITLE_DATE_PR),TITLE_DATE_PR_CHANGE)</f>
        <v>45408</v>
      </c>
      <c r="AY28" s="4202"/>
      <c r="AZ28" s="4202"/>
      <c r="BA28" s="4202"/>
      <c r="BB28" s="4202"/>
      <c r="BC28" s="4202"/>
      <c r="BD28" s="4032"/>
      <c r="BE28" s="4202" t="str">
        <f>IF(TITLE_DATE_PR_CHANGE="",IF(TITLE_DATE_PR="","",TITLE_DATE_PR),TITLE_DATE_PR_CHANGE)</f>
        <v>45408</v>
      </c>
      <c r="BF28" s="4202"/>
      <c r="BG28" s="4202"/>
      <c r="BH28" s="4202"/>
      <c r="BI28" s="4202"/>
      <c r="BJ28" s="4202"/>
      <c r="BK28" s="4032"/>
      <c r="BL28" s="4202" t="str">
        <f>IF(TITLE_DATE_PR_CHANGE="",IF(TITLE_DATE_PR="","",TITLE_DATE_PR),TITLE_DATE_PR_CHANGE)</f>
        <v>45408</v>
      </c>
      <c r="BM28" s="4202"/>
      <c r="BN28" s="4202"/>
      <c r="BO28" s="4202"/>
      <c r="BP28" s="4202"/>
      <c r="BQ28" s="4202"/>
      <c r="BR28" s="4032"/>
      <c r="BS28" s="4202" t="str">
        <f>IF(TITLE_DATE_PR_CHANGE="",IF(TITLE_DATE_PR="","",TITLE_DATE_PR),TITLE_DATE_PR_CHANGE)</f>
        <v>45408</v>
      </c>
      <c r="BT28" s="4202"/>
      <c r="BU28" s="4202"/>
      <c r="BV28" s="4202"/>
      <c r="BW28" s="4202"/>
      <c r="BX28" s="4202"/>
      <c r="BY28" s="4032"/>
      <c r="BZ28" s="14849" t="str">
        <f>IF(TITLE_DATE_PR_CHANGE="",IF(TITLE_DATE_PR="","",TITLE_DATE_PR),TITLE_DATE_PR_CHANGE)</f>
        <v>45408</v>
      </c>
      <c r="CA28" s="14849"/>
      <c r="CB28" s="14849"/>
      <c r="CC28" s="14849"/>
      <c r="CD28" s="14849"/>
      <c r="CE28" s="14849"/>
      <c r="CF28" s="14671"/>
      <c r="CG28" s="553"/>
      <c r="CH28" s="507"/>
      <c r="CI28" s="595"/>
      <c r="CJ28" s="595"/>
      <c r="CK28" s="595"/>
      <c r="CL28" s="595"/>
      <c r="CM28" s="595"/>
      <c r="CN28" s="645">
        <v>0</v>
      </c>
    </row>
    <row s="13348"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27-2085</v>
      </c>
      <c r="W29" s="2478"/>
      <c r="X29" s="2478"/>
      <c r="Y29" s="2478"/>
      <c r="Z29" s="2478"/>
      <c r="AA29" s="2478"/>
      <c r="AB29" s="553"/>
      <c r="AC29" s="2478" t="str">
        <f>IF(TITLE_NUMBER_PR_CHANGE="",IF(TITLE_NUMBER_PR="","",TITLE_NUMBER_PR),TITLE_NUMBER_PR_CHANGE)</f>
        <v>27-2085</v>
      </c>
      <c r="AD29" s="2478"/>
      <c r="AE29" s="2478"/>
      <c r="AF29" s="2478"/>
      <c r="AG29" s="2478"/>
      <c r="AH29" s="2478"/>
      <c r="AI29" s="553"/>
      <c r="AJ29" s="4201" t="str">
        <f>IF(TITLE_NUMBER_PR_CHANGE="",IF(TITLE_NUMBER_PR="","",TITLE_NUMBER_PR),TITLE_NUMBER_PR_CHANGE)</f>
        <v>27-2085</v>
      </c>
      <c r="AK29" s="4201"/>
      <c r="AL29" s="4201"/>
      <c r="AM29" s="4201"/>
      <c r="AN29" s="4201"/>
      <c r="AO29" s="4201"/>
      <c r="AP29" s="4032"/>
      <c r="AQ29" s="4201" t="str">
        <f>IF(TITLE_NUMBER_PR_CHANGE="",IF(TITLE_NUMBER_PR="","",TITLE_NUMBER_PR),TITLE_NUMBER_PR_CHANGE)</f>
        <v>27-2085</v>
      </c>
      <c r="AR29" s="4201"/>
      <c r="AS29" s="4201"/>
      <c r="AT29" s="4201"/>
      <c r="AU29" s="4201"/>
      <c r="AV29" s="4201"/>
      <c r="AW29" s="4032"/>
      <c r="AX29" s="4201" t="str">
        <f>IF(TITLE_NUMBER_PR_CHANGE="",IF(TITLE_NUMBER_PR="","",TITLE_NUMBER_PR),TITLE_NUMBER_PR_CHANGE)</f>
        <v>27-2085</v>
      </c>
      <c r="AY29" s="4201"/>
      <c r="AZ29" s="4201"/>
      <c r="BA29" s="4201"/>
      <c r="BB29" s="4201"/>
      <c r="BC29" s="4201"/>
      <c r="BD29" s="4032"/>
      <c r="BE29" s="4201" t="str">
        <f>IF(TITLE_NUMBER_PR_CHANGE="",IF(TITLE_NUMBER_PR="","",TITLE_NUMBER_PR),TITLE_NUMBER_PR_CHANGE)</f>
        <v>27-2085</v>
      </c>
      <c r="BF29" s="4201"/>
      <c r="BG29" s="4201"/>
      <c r="BH29" s="4201"/>
      <c r="BI29" s="4201"/>
      <c r="BJ29" s="4201"/>
      <c r="BK29" s="4032"/>
      <c r="BL29" s="4201" t="str">
        <f>IF(TITLE_NUMBER_PR_CHANGE="",IF(TITLE_NUMBER_PR="","",TITLE_NUMBER_PR),TITLE_NUMBER_PR_CHANGE)</f>
        <v>27-2085</v>
      </c>
      <c r="BM29" s="4201"/>
      <c r="BN29" s="4201"/>
      <c r="BO29" s="4201"/>
      <c r="BP29" s="4201"/>
      <c r="BQ29" s="4201"/>
      <c r="BR29" s="4032"/>
      <c r="BS29" s="4201" t="str">
        <f>IF(TITLE_NUMBER_PR_CHANGE="",IF(TITLE_NUMBER_PR="","",TITLE_NUMBER_PR),TITLE_NUMBER_PR_CHANGE)</f>
        <v>27-2085</v>
      </c>
      <c r="BT29" s="4201"/>
      <c r="BU29" s="4201"/>
      <c r="BV29" s="4201"/>
      <c r="BW29" s="4201"/>
      <c r="BX29" s="4201"/>
      <c r="BY29" s="4032"/>
      <c r="BZ29" s="14848" t="str">
        <f>IF(TITLE_NUMBER_PR_CHANGE="",IF(TITLE_NUMBER_PR="","",TITLE_NUMBER_PR),TITLE_NUMBER_PR_CHANGE)</f>
        <v>27-2085</v>
      </c>
      <c r="CA29" s="14848"/>
      <c r="CB29" s="14848"/>
      <c r="CC29" s="14848"/>
      <c r="CD29" s="14848"/>
      <c r="CE29" s="14848"/>
      <c r="CF29" s="14671"/>
      <c r="CG29" s="553"/>
      <c r="CH29" s="507"/>
      <c r="CI29" s="595"/>
      <c r="CJ29" s="595"/>
      <c r="CK29" s="595"/>
      <c r="CL29" s="595"/>
      <c r="CM29" s="595"/>
      <c r="CN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4201" t="str">
        <f>IF(TITLE_IST_PUB_CHANGE="",IF(TITLE_IST_PUB="","",TITLE_IST_PUB),TITLE_IST_PUB_CHANGE)</f>
        <v/>
      </c>
      <c r="AK30" s="4201"/>
      <c r="AL30" s="4201"/>
      <c r="AM30" s="4201"/>
      <c r="AN30" s="4201"/>
      <c r="AO30" s="4201"/>
      <c r="AP30" s="4032"/>
      <c r="AQ30" s="4201" t="str">
        <f>IF(TITLE_IST_PUB_CHANGE="",IF(TITLE_IST_PUB="","",TITLE_IST_PUB),TITLE_IST_PUB_CHANGE)</f>
        <v/>
      </c>
      <c r="AR30" s="4201"/>
      <c r="AS30" s="4201"/>
      <c r="AT30" s="4201"/>
      <c r="AU30" s="4201"/>
      <c r="AV30" s="4201"/>
      <c r="AW30" s="4032"/>
      <c r="AX30" s="4201" t="str">
        <f>IF(TITLE_IST_PUB_CHANGE="",IF(TITLE_IST_PUB="","",TITLE_IST_PUB),TITLE_IST_PUB_CHANGE)</f>
        <v/>
      </c>
      <c r="AY30" s="4201"/>
      <c r="AZ30" s="4201"/>
      <c r="BA30" s="4201"/>
      <c r="BB30" s="4201"/>
      <c r="BC30" s="4201"/>
      <c r="BD30" s="4032"/>
      <c r="BE30" s="4201" t="str">
        <f>IF(TITLE_IST_PUB_CHANGE="",IF(TITLE_IST_PUB="","",TITLE_IST_PUB),TITLE_IST_PUB_CHANGE)</f>
        <v/>
      </c>
      <c r="BF30" s="4201"/>
      <c r="BG30" s="4201"/>
      <c r="BH30" s="4201"/>
      <c r="BI30" s="4201"/>
      <c r="BJ30" s="4201"/>
      <c r="BK30" s="4032"/>
      <c r="BL30" s="4201" t="str">
        <f>IF(TITLE_IST_PUB_CHANGE="",IF(TITLE_IST_PUB="","",TITLE_IST_PUB),TITLE_IST_PUB_CHANGE)</f>
        <v/>
      </c>
      <c r="BM30" s="4201"/>
      <c r="BN30" s="4201"/>
      <c r="BO30" s="4201"/>
      <c r="BP30" s="4201"/>
      <c r="BQ30" s="4201"/>
      <c r="BR30" s="4032"/>
      <c r="BS30" s="4201" t="str">
        <f>IF(TITLE_IST_PUB_CHANGE="",IF(TITLE_IST_PUB="","",TITLE_IST_PUB),TITLE_IST_PUB_CHANGE)</f>
        <v/>
      </c>
      <c r="BT30" s="4201"/>
      <c r="BU30" s="4201"/>
      <c r="BV30" s="4201"/>
      <c r="BW30" s="4201"/>
      <c r="BX30" s="4201"/>
      <c r="BY30" s="4032"/>
      <c r="BZ30" s="14848" t="str">
        <f>IF(TITLE_IST_PUB_CHANGE="",IF(TITLE_IST_PUB="","",TITLE_IST_PUB),TITLE_IST_PUB_CHANGE)</f>
        <v/>
      </c>
      <c r="CA30" s="14848"/>
      <c r="CB30" s="14848"/>
      <c r="CC30" s="14848"/>
      <c r="CD30" s="14848"/>
      <c r="CE30" s="14848"/>
      <c r="CF30" s="14671"/>
      <c r="CG30" s="553"/>
      <c r="CH30" s="507"/>
      <c r="CI30" s="595"/>
      <c r="CJ30" s="595"/>
      <c r="CK30" s="595"/>
      <c r="CL30" s="595"/>
      <c r="CM30" s="595"/>
      <c r="CN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4200"/>
      <c r="AK31" s="4200"/>
      <c r="AL31" s="4200"/>
      <c r="AM31" s="4200"/>
      <c r="AN31" s="4200"/>
      <c r="AO31" s="4200"/>
      <c r="AP31" s="4200"/>
      <c r="AQ31" s="4200"/>
      <c r="AR31" s="4200"/>
      <c r="AS31" s="4200"/>
      <c r="AT31" s="4200"/>
      <c r="AU31" s="4200"/>
      <c r="AV31" s="4200"/>
      <c r="AW31" s="4200"/>
      <c r="AX31" s="4200"/>
      <c r="AY31" s="4200"/>
      <c r="AZ31" s="4200"/>
      <c r="BA31" s="4200"/>
      <c r="BB31" s="4200"/>
      <c r="BC31" s="4200"/>
      <c r="BD31" s="4200"/>
      <c r="BE31" s="4200"/>
      <c r="BF31" s="4200"/>
      <c r="BG31" s="4200"/>
      <c r="BH31" s="4200"/>
      <c r="BI31" s="4200"/>
      <c r="BJ31" s="4200"/>
      <c r="BK31" s="4200"/>
      <c r="BL31" s="4200"/>
      <c r="BM31" s="4200"/>
      <c r="BN31" s="4200"/>
      <c r="BO31" s="4200"/>
      <c r="BP31" s="4200"/>
      <c r="BQ31" s="4200"/>
      <c r="BR31" s="4200"/>
      <c r="BS31" s="4200"/>
      <c r="BT31" s="4200"/>
      <c r="BU31" s="4200"/>
      <c r="BV31" s="4200"/>
      <c r="BW31" s="4200"/>
      <c r="BX31" s="4200"/>
      <c r="BY31" s="4200"/>
      <c r="BZ31" s="14847"/>
      <c r="CA31" s="14847"/>
      <c r="CB31" s="14847"/>
      <c r="CC31" s="14847"/>
      <c r="CD31" s="14847"/>
      <c r="CE31" s="14847"/>
      <c r="CF31" s="14847"/>
      <c r="CG31" s="736"/>
      <c r="CN31" s="1382">
        <v>0</v>
      </c>
    </row>
    <row s="13348"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4202" t="str">
        <f>IF(TITLE_DATE_PR_CHANGE="",IF(TITLE_DATE_PR="","",TITLE_DATE_PR),TITLE_DATE_PR_CHANGE)</f>
        <v>45408</v>
      </c>
      <c r="AK32" s="4202"/>
      <c r="AL32" s="4202"/>
      <c r="AM32" s="4202"/>
      <c r="AN32" s="4202"/>
      <c r="AO32" s="4202"/>
      <c r="AP32" s="4032"/>
      <c r="AQ32" s="4202" t="str">
        <f>IF(TITLE_DATE_PR_CHANGE="",IF(TITLE_DATE_PR="","",TITLE_DATE_PR),TITLE_DATE_PR_CHANGE)</f>
        <v>45408</v>
      </c>
      <c r="AR32" s="4202"/>
      <c r="AS32" s="4202"/>
      <c r="AT32" s="4202"/>
      <c r="AU32" s="4202"/>
      <c r="AV32" s="4202"/>
      <c r="AW32" s="4032"/>
      <c r="AX32" s="4202" t="str">
        <f>IF(TITLE_DATE_PR_CHANGE="",IF(TITLE_DATE_PR="","",TITLE_DATE_PR),TITLE_DATE_PR_CHANGE)</f>
        <v>45408</v>
      </c>
      <c r="AY32" s="4202"/>
      <c r="AZ32" s="4202"/>
      <c r="BA32" s="4202"/>
      <c r="BB32" s="4202"/>
      <c r="BC32" s="4202"/>
      <c r="BD32" s="4032"/>
      <c r="BE32" s="4202" t="str">
        <f>IF(TITLE_DATE_PR_CHANGE="",IF(TITLE_DATE_PR="","",TITLE_DATE_PR),TITLE_DATE_PR_CHANGE)</f>
        <v>45408</v>
      </c>
      <c r="BF32" s="4202"/>
      <c r="BG32" s="4202"/>
      <c r="BH32" s="4202"/>
      <c r="BI32" s="4202"/>
      <c r="BJ32" s="4202"/>
      <c r="BK32" s="4032"/>
      <c r="BL32" s="4202" t="str">
        <f>IF(TITLE_DATE_PR_CHANGE="",IF(TITLE_DATE_PR="","",TITLE_DATE_PR),TITLE_DATE_PR_CHANGE)</f>
        <v>45408</v>
      </c>
      <c r="BM32" s="4202"/>
      <c r="BN32" s="4202"/>
      <c r="BO32" s="4202"/>
      <c r="BP32" s="4202"/>
      <c r="BQ32" s="4202"/>
      <c r="BR32" s="4032"/>
      <c r="BS32" s="4202" t="str">
        <f>IF(TITLE_DATE_PR_CHANGE="",IF(TITLE_DATE_PR="","",TITLE_DATE_PR),TITLE_DATE_PR_CHANGE)</f>
        <v>45408</v>
      </c>
      <c r="BT32" s="4202"/>
      <c r="BU32" s="4202"/>
      <c r="BV32" s="4202"/>
      <c r="BW32" s="4202"/>
      <c r="BX32" s="4202"/>
      <c r="BY32" s="4032"/>
      <c r="BZ32" s="14849" t="str">
        <f>IF(TITLE_DATE_PR_CHANGE="",IF(TITLE_DATE_PR="","",TITLE_DATE_PR),TITLE_DATE_PR_CHANGE)</f>
        <v>45408</v>
      </c>
      <c r="CA32" s="14849"/>
      <c r="CB32" s="14849"/>
      <c r="CC32" s="14849"/>
      <c r="CD32" s="14849"/>
      <c r="CE32" s="14849"/>
      <c r="CF32" s="14671"/>
      <c r="CG32" s="553"/>
      <c r="CH32" s="507"/>
      <c r="CI32" s="595"/>
      <c r="CJ32" s="595"/>
      <c r="CK32" s="595"/>
      <c r="CL32" s="595"/>
      <c r="CM32" s="595"/>
      <c r="CN32" s="645">
        <v>0</v>
      </c>
    </row>
    <row s="13348"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27-2085</v>
      </c>
      <c r="W33" s="2478"/>
      <c r="X33" s="2478"/>
      <c r="Y33" s="2478"/>
      <c r="Z33" s="2478"/>
      <c r="AA33" s="2478"/>
      <c r="AB33" s="553"/>
      <c r="AC33" s="2478" t="str">
        <f>IF(TITLE_NUMBER_PR_CHANGE="",IF(TITLE_NUMBER_PR="","",TITLE_NUMBER_PR),TITLE_NUMBER_PR_CHANGE)</f>
        <v>27-2085</v>
      </c>
      <c r="AD33" s="2478"/>
      <c r="AE33" s="2478"/>
      <c r="AF33" s="2478"/>
      <c r="AG33" s="2478"/>
      <c r="AH33" s="2478"/>
      <c r="AI33" s="553"/>
      <c r="AJ33" s="4201" t="str">
        <f>IF(TITLE_NUMBER_PR_CHANGE="",IF(TITLE_NUMBER_PR="","",TITLE_NUMBER_PR),TITLE_NUMBER_PR_CHANGE)</f>
        <v>27-2085</v>
      </c>
      <c r="AK33" s="4201"/>
      <c r="AL33" s="4201"/>
      <c r="AM33" s="4201"/>
      <c r="AN33" s="4201"/>
      <c r="AO33" s="4201"/>
      <c r="AP33" s="4032"/>
      <c r="AQ33" s="4201" t="str">
        <f>IF(TITLE_NUMBER_PR_CHANGE="",IF(TITLE_NUMBER_PR="","",TITLE_NUMBER_PR),TITLE_NUMBER_PR_CHANGE)</f>
        <v>27-2085</v>
      </c>
      <c r="AR33" s="4201"/>
      <c r="AS33" s="4201"/>
      <c r="AT33" s="4201"/>
      <c r="AU33" s="4201"/>
      <c r="AV33" s="4201"/>
      <c r="AW33" s="4032"/>
      <c r="AX33" s="4201" t="str">
        <f>IF(TITLE_NUMBER_PR_CHANGE="",IF(TITLE_NUMBER_PR="","",TITLE_NUMBER_PR),TITLE_NUMBER_PR_CHANGE)</f>
        <v>27-2085</v>
      </c>
      <c r="AY33" s="4201"/>
      <c r="AZ33" s="4201"/>
      <c r="BA33" s="4201"/>
      <c r="BB33" s="4201"/>
      <c r="BC33" s="4201"/>
      <c r="BD33" s="4032"/>
      <c r="BE33" s="4201" t="str">
        <f>IF(TITLE_NUMBER_PR_CHANGE="",IF(TITLE_NUMBER_PR="","",TITLE_NUMBER_PR),TITLE_NUMBER_PR_CHANGE)</f>
        <v>27-2085</v>
      </c>
      <c r="BF33" s="4201"/>
      <c r="BG33" s="4201"/>
      <c r="BH33" s="4201"/>
      <c r="BI33" s="4201"/>
      <c r="BJ33" s="4201"/>
      <c r="BK33" s="4032"/>
      <c r="BL33" s="4201" t="str">
        <f>IF(TITLE_NUMBER_PR_CHANGE="",IF(TITLE_NUMBER_PR="","",TITLE_NUMBER_PR),TITLE_NUMBER_PR_CHANGE)</f>
        <v>27-2085</v>
      </c>
      <c r="BM33" s="4201"/>
      <c r="BN33" s="4201"/>
      <c r="BO33" s="4201"/>
      <c r="BP33" s="4201"/>
      <c r="BQ33" s="4201"/>
      <c r="BR33" s="4032"/>
      <c r="BS33" s="4201" t="str">
        <f>IF(TITLE_NUMBER_PR_CHANGE="",IF(TITLE_NUMBER_PR="","",TITLE_NUMBER_PR),TITLE_NUMBER_PR_CHANGE)</f>
        <v>27-2085</v>
      </c>
      <c r="BT33" s="4201"/>
      <c r="BU33" s="4201"/>
      <c r="BV33" s="4201"/>
      <c r="BW33" s="4201"/>
      <c r="BX33" s="4201"/>
      <c r="BY33" s="4032"/>
      <c r="BZ33" s="14848" t="str">
        <f>IF(TITLE_NUMBER_PR_CHANGE="",IF(TITLE_NUMBER_PR="","",TITLE_NUMBER_PR),TITLE_NUMBER_PR_CHANGE)</f>
        <v>27-2085</v>
      </c>
      <c r="CA33" s="14848"/>
      <c r="CB33" s="14848"/>
      <c r="CC33" s="14848"/>
      <c r="CD33" s="14848"/>
      <c r="CE33" s="14848"/>
      <c r="CF33" s="14671"/>
      <c r="CG33" s="553"/>
      <c r="CH33" s="507"/>
      <c r="CI33" s="595"/>
      <c r="CJ33" s="595"/>
      <c r="CK33" s="595"/>
      <c r="CL33" s="595"/>
      <c r="CM33" s="595"/>
      <c r="CN33" s="645">
        <v>0</v>
      </c>
    </row>
    <row s="1334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J34" s="4032"/>
      <c r="AK34" s="4032"/>
      <c r="AL34" s="4032"/>
      <c r="AM34" s="4032"/>
      <c r="AN34" s="4032"/>
      <c r="AO34" s="4032"/>
      <c r="AP34" s="4204" t="s">
        <v>430</v>
      </c>
      <c r="AQ34" s="4032"/>
      <c r="AR34" s="4032"/>
      <c r="AS34" s="4032"/>
      <c r="AT34" s="4032"/>
      <c r="AU34" s="4032"/>
      <c r="AV34" s="4032"/>
      <c r="AW34" s="4204" t="s">
        <v>430</v>
      </c>
      <c r="AX34" s="4032"/>
      <c r="AY34" s="4032"/>
      <c r="AZ34" s="4032"/>
      <c r="BA34" s="4032"/>
      <c r="BB34" s="4032"/>
      <c r="BC34" s="4032"/>
      <c r="BD34" s="4204" t="s">
        <v>430</v>
      </c>
      <c r="BE34" s="4032"/>
      <c r="BF34" s="4032"/>
      <c r="BG34" s="4032"/>
      <c r="BH34" s="4032"/>
      <c r="BI34" s="4032"/>
      <c r="BJ34" s="4032"/>
      <c r="BK34" s="4204" t="s">
        <v>430</v>
      </c>
      <c r="BL34" s="4032"/>
      <c r="BM34" s="4032"/>
      <c r="BN34" s="4032"/>
      <c r="BO34" s="4032"/>
      <c r="BP34" s="4032"/>
      <c r="BQ34" s="4032"/>
      <c r="BR34" s="4204" t="s">
        <v>430</v>
      </c>
      <c r="BS34" s="4032"/>
      <c r="BT34" s="4032"/>
      <c r="BU34" s="4032"/>
      <c r="BV34" s="4032"/>
      <c r="BW34" s="4032"/>
      <c r="BX34" s="4032"/>
      <c r="BY34" s="4204" t="s">
        <v>430</v>
      </c>
      <c r="BZ34" s="14671"/>
      <c r="CA34" s="14671"/>
      <c r="CB34" s="14671"/>
      <c r="CC34" s="14671"/>
      <c r="CD34" s="14671"/>
      <c r="CE34" s="14671"/>
      <c r="CF34" s="14851" t="s">
        <v>430</v>
      </c>
      <c r="CI34" s="595"/>
      <c r="CJ34" s="595"/>
      <c r="CK34" s="595"/>
      <c r="CL34" s="595"/>
      <c r="CM34" s="595"/>
      <c r="CN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4205" t="s">
        <v>491</v>
      </c>
      <c r="AK35" s="4205"/>
      <c r="AL35" s="4205"/>
      <c r="AM35" s="4205"/>
      <c r="AN35" s="4205"/>
      <c r="AO35" s="4205"/>
      <c r="AP35" s="4205"/>
      <c r="AQ35" s="4205" t="s">
        <v>491</v>
      </c>
      <c r="AR35" s="4205"/>
      <c r="AS35" s="4205"/>
      <c r="AT35" s="4205"/>
      <c r="AU35" s="4205"/>
      <c r="AV35" s="4205"/>
      <c r="AW35" s="4205"/>
      <c r="AX35" s="4205" t="s">
        <v>491</v>
      </c>
      <c r="AY35" s="4205"/>
      <c r="AZ35" s="4205"/>
      <c r="BA35" s="4205"/>
      <c r="BB35" s="4205"/>
      <c r="BC35" s="4205"/>
      <c r="BD35" s="4205"/>
      <c r="BE35" s="4205" t="s">
        <v>491</v>
      </c>
      <c r="BF35" s="4205"/>
      <c r="BG35" s="4205"/>
      <c r="BH35" s="4205"/>
      <c r="BI35" s="4205"/>
      <c r="BJ35" s="4205"/>
      <c r="BK35" s="4205"/>
      <c r="BL35" s="4205" t="s">
        <v>491</v>
      </c>
      <c r="BM35" s="4205"/>
      <c r="BN35" s="4205"/>
      <c r="BO35" s="4205"/>
      <c r="BP35" s="4205"/>
      <c r="BQ35" s="4205"/>
      <c r="BR35" s="4205"/>
      <c r="BS35" s="4205" t="s">
        <v>491</v>
      </c>
      <c r="BT35" s="4205"/>
      <c r="BU35" s="4205"/>
      <c r="BV35" s="4205"/>
      <c r="BW35" s="4205"/>
      <c r="BX35" s="4205"/>
      <c r="BY35" s="4205"/>
      <c r="BZ35" s="14852" t="s">
        <v>491</v>
      </c>
      <c r="CA35" s="14852"/>
      <c r="CB35" s="14852"/>
      <c r="CC35" s="14852"/>
      <c r="CD35" s="14852"/>
      <c r="CE35" s="14852"/>
      <c r="CF35" s="14852"/>
      <c r="CN35" s="1382">
        <v>14</v>
      </c>
    </row>
    <row customHeight="1" ht="15">
      <c r="Q36" s="603"/>
      <c r="R36" s="603"/>
      <c r="S36" s="2354" t="s">
        <v>305</v>
      </c>
      <c r="T36" s="2354"/>
      <c r="U36" s="2354"/>
      <c r="V36" s="2354"/>
      <c r="W36" s="2354"/>
      <c r="X36" s="2354"/>
      <c r="Y36" s="2354"/>
      <c r="Z36" s="2354"/>
      <c r="AA36" s="2354"/>
      <c r="AB36" s="2354"/>
      <c r="AC36" s="2354"/>
      <c r="AD36" s="2354"/>
      <c r="AE36" s="2354"/>
      <c r="AF36" s="2354"/>
      <c r="AG36" s="2354"/>
      <c r="AH36" s="2354"/>
      <c r="AI36" s="2354"/>
      <c r="AJ36" s="4206" t="s">
        <v>305</v>
      </c>
      <c r="AK36" s="4206"/>
      <c r="AL36" s="4206"/>
      <c r="AM36" s="4206"/>
      <c r="AN36" s="4206"/>
      <c r="AO36" s="4206"/>
      <c r="AP36" s="4206"/>
      <c r="AQ36" s="4206" t="s">
        <v>305</v>
      </c>
      <c r="AR36" s="4206"/>
      <c r="AS36" s="4206"/>
      <c r="AT36" s="4206"/>
      <c r="AU36" s="4206"/>
      <c r="AV36" s="4206"/>
      <c r="AW36" s="4206"/>
      <c r="AX36" s="4206" t="s">
        <v>305</v>
      </c>
      <c r="AY36" s="4206"/>
      <c r="AZ36" s="4206"/>
      <c r="BA36" s="4206"/>
      <c r="BB36" s="4206"/>
      <c r="BC36" s="4206"/>
      <c r="BD36" s="4206"/>
      <c r="BE36" s="4206" t="s">
        <v>305</v>
      </c>
      <c r="BF36" s="4206"/>
      <c r="BG36" s="4206"/>
      <c r="BH36" s="4206"/>
      <c r="BI36" s="4206"/>
      <c r="BJ36" s="4206"/>
      <c r="BK36" s="4206"/>
      <c r="BL36" s="4206" t="s">
        <v>305</v>
      </c>
      <c r="BM36" s="4206"/>
      <c r="BN36" s="4206"/>
      <c r="BO36" s="4206"/>
      <c r="BP36" s="4206"/>
      <c r="BQ36" s="4206"/>
      <c r="BR36" s="4206"/>
      <c r="BS36" s="4206" t="s">
        <v>305</v>
      </c>
      <c r="BT36" s="4206"/>
      <c r="BU36" s="4206"/>
      <c r="BV36" s="4206"/>
      <c r="BW36" s="4206"/>
      <c r="BX36" s="4206"/>
      <c r="BY36" s="4206"/>
      <c r="BZ36" s="14853" t="s">
        <v>305</v>
      </c>
      <c r="CA36" s="14853"/>
      <c r="CB36" s="14853"/>
      <c r="CC36" s="14853"/>
      <c r="CD36" s="14853"/>
      <c r="CE36" s="14853"/>
      <c r="CF36" s="14853"/>
      <c r="CG36" s="2354"/>
      <c r="CH36" s="2354"/>
      <c r="CN36" s="1382"/>
    </row>
    <row customHeight="1" ht="14.699999999999998">
      <c r="Q37" s="603"/>
      <c r="R37" s="603"/>
      <c r="S37" s="2500" t="s">
        <v>88</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4207" t="s">
        <v>432</v>
      </c>
      <c r="AK37" s="4208"/>
      <c r="AL37" s="4208"/>
      <c r="AM37" s="4208"/>
      <c r="AN37" s="4208"/>
      <c r="AO37" s="4209"/>
      <c r="AP37" s="4210" t="s">
        <v>433</v>
      </c>
      <c r="AQ37" s="4207" t="s">
        <v>432</v>
      </c>
      <c r="AR37" s="4208"/>
      <c r="AS37" s="4208"/>
      <c r="AT37" s="4208"/>
      <c r="AU37" s="4208"/>
      <c r="AV37" s="4209"/>
      <c r="AW37" s="4210" t="s">
        <v>433</v>
      </c>
      <c r="AX37" s="4207" t="s">
        <v>432</v>
      </c>
      <c r="AY37" s="4208"/>
      <c r="AZ37" s="4208"/>
      <c r="BA37" s="4208"/>
      <c r="BB37" s="4208"/>
      <c r="BC37" s="4209"/>
      <c r="BD37" s="4210" t="s">
        <v>433</v>
      </c>
      <c r="BE37" s="4207" t="s">
        <v>432</v>
      </c>
      <c r="BF37" s="4208"/>
      <c r="BG37" s="4208"/>
      <c r="BH37" s="4208"/>
      <c r="BI37" s="4208"/>
      <c r="BJ37" s="4209"/>
      <c r="BK37" s="4210" t="s">
        <v>433</v>
      </c>
      <c r="BL37" s="4207" t="s">
        <v>432</v>
      </c>
      <c r="BM37" s="4208"/>
      <c r="BN37" s="4208"/>
      <c r="BO37" s="4208"/>
      <c r="BP37" s="4208"/>
      <c r="BQ37" s="4209"/>
      <c r="BR37" s="4210" t="s">
        <v>433</v>
      </c>
      <c r="BS37" s="4207" t="s">
        <v>432</v>
      </c>
      <c r="BT37" s="4208"/>
      <c r="BU37" s="4208"/>
      <c r="BV37" s="4208"/>
      <c r="BW37" s="4208"/>
      <c r="BX37" s="4209"/>
      <c r="BY37" s="4210" t="s">
        <v>433</v>
      </c>
      <c r="BZ37" s="14854" t="s">
        <v>432</v>
      </c>
      <c r="CA37" s="14855"/>
      <c r="CB37" s="14855"/>
      <c r="CC37" s="14855"/>
      <c r="CD37" s="14855"/>
      <c r="CE37" s="14856"/>
      <c r="CF37" s="14857" t="s">
        <v>433</v>
      </c>
      <c r="CG37" s="2507" t="s">
        <v>435</v>
      </c>
      <c r="CH37" s="2354"/>
      <c r="CN37" s="1382">
        <v>14</v>
      </c>
    </row>
    <row customHeight="1" ht="35.699999999999996">
      <c r="Q38" s="603"/>
      <c r="R38" s="603"/>
      <c r="S38" s="2500"/>
      <c r="T38" s="2436"/>
      <c r="U38" s="1258"/>
      <c r="V38" s="1679" t="s">
        <v>492</v>
      </c>
      <c r="W38" s="2489" t="s">
        <v>438</v>
      </c>
      <c r="X38" s="2490"/>
      <c r="Y38" s="2489" t="s">
        <v>439</v>
      </c>
      <c r="Z38" s="2496"/>
      <c r="AA38" s="2490"/>
      <c r="AB38" s="2505"/>
      <c r="AC38" s="1679" t="s">
        <v>492</v>
      </c>
      <c r="AD38" s="2489" t="s">
        <v>438</v>
      </c>
      <c r="AE38" s="2490"/>
      <c r="AF38" s="2489" t="s">
        <v>439</v>
      </c>
      <c r="AG38" s="2496"/>
      <c r="AH38" s="2490"/>
      <c r="AI38" s="2505"/>
      <c r="AJ38" s="4212" t="s">
        <v>492</v>
      </c>
      <c r="AK38" s="4213" t="s">
        <v>438</v>
      </c>
      <c r="AL38" s="4214"/>
      <c r="AM38" s="4213" t="s">
        <v>439</v>
      </c>
      <c r="AN38" s="4215"/>
      <c r="AO38" s="4214"/>
      <c r="AP38" s="4216"/>
      <c r="AQ38" s="4212" t="s">
        <v>492</v>
      </c>
      <c r="AR38" s="4213" t="s">
        <v>438</v>
      </c>
      <c r="AS38" s="4214"/>
      <c r="AT38" s="4213" t="s">
        <v>439</v>
      </c>
      <c r="AU38" s="4215"/>
      <c r="AV38" s="4214"/>
      <c r="AW38" s="4216"/>
      <c r="AX38" s="4212" t="s">
        <v>492</v>
      </c>
      <c r="AY38" s="4213" t="s">
        <v>438</v>
      </c>
      <c r="AZ38" s="4214"/>
      <c r="BA38" s="4213" t="s">
        <v>439</v>
      </c>
      <c r="BB38" s="4215"/>
      <c r="BC38" s="4214"/>
      <c r="BD38" s="4216"/>
      <c r="BE38" s="4212" t="s">
        <v>492</v>
      </c>
      <c r="BF38" s="4213" t="s">
        <v>438</v>
      </c>
      <c r="BG38" s="4214"/>
      <c r="BH38" s="4213" t="s">
        <v>439</v>
      </c>
      <c r="BI38" s="4215"/>
      <c r="BJ38" s="4214"/>
      <c r="BK38" s="4216"/>
      <c r="BL38" s="4212" t="s">
        <v>492</v>
      </c>
      <c r="BM38" s="4213" t="s">
        <v>438</v>
      </c>
      <c r="BN38" s="4214"/>
      <c r="BO38" s="4213" t="s">
        <v>439</v>
      </c>
      <c r="BP38" s="4215"/>
      <c r="BQ38" s="4214"/>
      <c r="BR38" s="4216"/>
      <c r="BS38" s="4212" t="s">
        <v>492</v>
      </c>
      <c r="BT38" s="4213" t="s">
        <v>438</v>
      </c>
      <c r="BU38" s="4214"/>
      <c r="BV38" s="4213" t="s">
        <v>439</v>
      </c>
      <c r="BW38" s="4215"/>
      <c r="BX38" s="4214"/>
      <c r="BY38" s="4216"/>
      <c r="BZ38" s="14859" t="s">
        <v>492</v>
      </c>
      <c r="CA38" s="14860" t="s">
        <v>438</v>
      </c>
      <c r="CB38" s="14861"/>
      <c r="CC38" s="14860" t="s">
        <v>439</v>
      </c>
      <c r="CD38" s="14862"/>
      <c r="CE38" s="14861"/>
      <c r="CF38" s="14863"/>
      <c r="CG38" s="2508"/>
      <c r="CH38" s="2354"/>
      <c r="CN38" s="1382">
        <v>34</v>
      </c>
    </row>
    <row customHeight="1" ht="35.699999999999996">
      <c r="A39" s="1597"/>
      <c r="B39" s="1597" t="s">
        <v>135</v>
      </c>
      <c r="C39" s="1597" t="s">
        <v>136</v>
      </c>
      <c r="D39" s="1597" t="s">
        <v>137</v>
      </c>
      <c r="E39" s="1591" t="s">
        <v>440</v>
      </c>
      <c r="F39" s="1591" t="s">
        <v>441</v>
      </c>
      <c r="G39" s="1591" t="s">
        <v>442</v>
      </c>
      <c r="H39" s="1591"/>
      <c r="I39" s="1591" t="s">
        <v>493</v>
      </c>
      <c r="J39" s="1591" t="s">
        <v>445</v>
      </c>
      <c r="K39" s="1591" t="s">
        <v>494</v>
      </c>
      <c r="L39" s="1591" t="s">
        <v>421</v>
      </c>
      <c r="Q39" s="603"/>
      <c r="R39" s="603"/>
      <c r="S39" s="2500"/>
      <c r="T39" s="2436"/>
      <c r="U39" s="529"/>
      <c r="V39" s="1679" t="s">
        <v>495</v>
      </c>
      <c r="W39" s="1449" t="s">
        <v>496</v>
      </c>
      <c r="X39" s="1449" t="s">
        <v>497</v>
      </c>
      <c r="Y39" s="1682" t="s">
        <v>449</v>
      </c>
      <c r="Z39" s="2497" t="s">
        <v>450</v>
      </c>
      <c r="AA39" s="2498"/>
      <c r="AB39" s="2506"/>
      <c r="AC39" s="1679" t="s">
        <v>495</v>
      </c>
      <c r="AD39" s="1449" t="s">
        <v>496</v>
      </c>
      <c r="AE39" s="1449" t="s">
        <v>497</v>
      </c>
      <c r="AF39" s="1682" t="s">
        <v>449</v>
      </c>
      <c r="AG39" s="2497" t="s">
        <v>450</v>
      </c>
      <c r="AH39" s="2498"/>
      <c r="AI39" s="2506"/>
      <c r="AJ39" s="4212" t="s">
        <v>495</v>
      </c>
      <c r="AK39" s="4218" t="s">
        <v>496</v>
      </c>
      <c r="AL39" s="4218" t="s">
        <v>497</v>
      </c>
      <c r="AM39" s="4218" t="s">
        <v>449</v>
      </c>
      <c r="AN39" s="4219" t="s">
        <v>450</v>
      </c>
      <c r="AO39" s="4220"/>
      <c r="AP39" s="4221"/>
      <c r="AQ39" s="4212" t="s">
        <v>495</v>
      </c>
      <c r="AR39" s="4218" t="s">
        <v>496</v>
      </c>
      <c r="AS39" s="4218" t="s">
        <v>497</v>
      </c>
      <c r="AT39" s="4218" t="s">
        <v>449</v>
      </c>
      <c r="AU39" s="4219" t="s">
        <v>450</v>
      </c>
      <c r="AV39" s="4220"/>
      <c r="AW39" s="4221"/>
      <c r="AX39" s="4212" t="s">
        <v>495</v>
      </c>
      <c r="AY39" s="4218" t="s">
        <v>496</v>
      </c>
      <c r="AZ39" s="4218" t="s">
        <v>497</v>
      </c>
      <c r="BA39" s="4218" t="s">
        <v>449</v>
      </c>
      <c r="BB39" s="4219" t="s">
        <v>450</v>
      </c>
      <c r="BC39" s="4220"/>
      <c r="BD39" s="4221"/>
      <c r="BE39" s="4212" t="s">
        <v>495</v>
      </c>
      <c r="BF39" s="4218" t="s">
        <v>496</v>
      </c>
      <c r="BG39" s="4218" t="s">
        <v>497</v>
      </c>
      <c r="BH39" s="4218" t="s">
        <v>449</v>
      </c>
      <c r="BI39" s="4219" t="s">
        <v>450</v>
      </c>
      <c r="BJ39" s="4220"/>
      <c r="BK39" s="4221"/>
      <c r="BL39" s="4212" t="s">
        <v>495</v>
      </c>
      <c r="BM39" s="4218" t="s">
        <v>496</v>
      </c>
      <c r="BN39" s="4218" t="s">
        <v>497</v>
      </c>
      <c r="BO39" s="4218" t="s">
        <v>449</v>
      </c>
      <c r="BP39" s="4219" t="s">
        <v>450</v>
      </c>
      <c r="BQ39" s="4220"/>
      <c r="BR39" s="4221"/>
      <c r="BS39" s="4212" t="s">
        <v>495</v>
      </c>
      <c r="BT39" s="4218" t="s">
        <v>496</v>
      </c>
      <c r="BU39" s="4218" t="s">
        <v>497</v>
      </c>
      <c r="BV39" s="4218" t="s">
        <v>449</v>
      </c>
      <c r="BW39" s="4219" t="s">
        <v>450</v>
      </c>
      <c r="BX39" s="4220"/>
      <c r="BY39" s="4221"/>
      <c r="BZ39" s="14859" t="s">
        <v>495</v>
      </c>
      <c r="CA39" s="14865" t="s">
        <v>496</v>
      </c>
      <c r="CB39" s="14865" t="s">
        <v>497</v>
      </c>
      <c r="CC39" s="14865" t="s">
        <v>449</v>
      </c>
      <c r="CD39" s="14866" t="s">
        <v>450</v>
      </c>
      <c r="CE39" s="14867"/>
      <c r="CF39" s="14868"/>
      <c r="CG39" s="2509"/>
      <c r="CH39" s="2354"/>
      <c r="CN39" s="1382">
        <v>34</v>
      </c>
    </row>
    <row s="1382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4223">
        <f>OFFSET(AJ40,0,-1)+1</f>
        <v>15</v>
      </c>
      <c r="AK40" s="4223">
        <f>OFFSET(AK40,0,-1)+1</f>
        <v>16</v>
      </c>
      <c r="AL40" s="4223">
        <f>OFFSET(AL40,0,-1)+1</f>
        <v>17</v>
      </c>
      <c r="AM40" s="4223">
        <f>OFFSET(AM40,0,-1)+1</f>
        <v>18</v>
      </c>
      <c r="AN40" s="4223">
        <f>OFFSET(AN40,0,-1)+1</f>
        <v>19</v>
      </c>
      <c r="AO40" s="4223"/>
      <c r="AP40" s="4223">
        <f>OFFSET(AP40,0,-2)+1</f>
        <v>20</v>
      </c>
      <c r="AQ40" s="4223">
        <f>OFFSET(AQ40,0,-1)+1</f>
        <v>21</v>
      </c>
      <c r="AR40" s="4223">
        <f>OFFSET(AR40,0,-1)+1</f>
        <v>22</v>
      </c>
      <c r="AS40" s="4223">
        <f>OFFSET(AS40,0,-1)+1</f>
        <v>23</v>
      </c>
      <c r="AT40" s="4223">
        <f>OFFSET(AT40,0,-1)+1</f>
        <v>24</v>
      </c>
      <c r="AU40" s="4223">
        <f>OFFSET(AU40,0,-1)+1</f>
        <v>25</v>
      </c>
      <c r="AV40" s="4223"/>
      <c r="AW40" s="4223">
        <f>OFFSET(AW40,0,-2)+1</f>
        <v>26</v>
      </c>
      <c r="AX40" s="4223">
        <f>OFFSET(AX40,0,-1)+1</f>
        <v>27</v>
      </c>
      <c r="AY40" s="4223">
        <f>OFFSET(AY40,0,-1)+1</f>
        <v>28</v>
      </c>
      <c r="AZ40" s="4223">
        <f>OFFSET(AZ40,0,-1)+1</f>
        <v>29</v>
      </c>
      <c r="BA40" s="4223">
        <f>OFFSET(BA40,0,-1)+1</f>
        <v>30</v>
      </c>
      <c r="BB40" s="4223">
        <f>OFFSET(BB40,0,-1)+1</f>
        <v>31</v>
      </c>
      <c r="BC40" s="4223"/>
      <c r="BD40" s="4223">
        <f>OFFSET(BD40,0,-2)+1</f>
        <v>32</v>
      </c>
      <c r="BE40" s="4223">
        <f>OFFSET(BE40,0,-1)+1</f>
        <v>33</v>
      </c>
      <c r="BF40" s="4223">
        <f>OFFSET(BF40,0,-1)+1</f>
        <v>34</v>
      </c>
      <c r="BG40" s="4223">
        <f>OFFSET(BG40,0,-1)+1</f>
        <v>35</v>
      </c>
      <c r="BH40" s="4223">
        <f>OFFSET(BH40,0,-1)+1</f>
        <v>36</v>
      </c>
      <c r="BI40" s="4223">
        <f>OFFSET(BI40,0,-1)+1</f>
        <v>37</v>
      </c>
      <c r="BJ40" s="4223"/>
      <c r="BK40" s="4223">
        <f>OFFSET(BK40,0,-2)+1</f>
        <v>38</v>
      </c>
      <c r="BL40" s="4223">
        <f>OFFSET(BL40,0,-1)+1</f>
        <v>39</v>
      </c>
      <c r="BM40" s="4223">
        <f>OFFSET(BM40,0,-1)+1</f>
        <v>40</v>
      </c>
      <c r="BN40" s="4223">
        <f>OFFSET(BN40,0,-1)+1</f>
        <v>41</v>
      </c>
      <c r="BO40" s="4223">
        <f>OFFSET(BO40,0,-1)+1</f>
        <v>42</v>
      </c>
      <c r="BP40" s="4223">
        <f>OFFSET(BP40,0,-1)+1</f>
        <v>43</v>
      </c>
      <c r="BQ40" s="4223"/>
      <c r="BR40" s="4223">
        <f>OFFSET(BR40,0,-2)+1</f>
        <v>44</v>
      </c>
      <c r="BS40" s="4223">
        <f>OFFSET(BS40,0,-1)+1</f>
        <v>45</v>
      </c>
      <c r="BT40" s="4223">
        <f>OFFSET(BT40,0,-1)+1</f>
        <v>46</v>
      </c>
      <c r="BU40" s="4223">
        <f>OFFSET(BU40,0,-1)+1</f>
        <v>47</v>
      </c>
      <c r="BV40" s="4223">
        <f>OFFSET(BV40,0,-1)+1</f>
        <v>48</v>
      </c>
      <c r="BW40" s="4223">
        <f>OFFSET(BW40,0,-1)+1</f>
        <v>49</v>
      </c>
      <c r="BX40" s="4223"/>
      <c r="BY40" s="4223">
        <f>OFFSET(BY40,0,-2)+1</f>
        <v>50</v>
      </c>
      <c r="BZ40" s="14870">
        <f>OFFSET(BZ40,0,-1)+1</f>
        <v>51</v>
      </c>
      <c r="CA40" s="14870">
        <f>OFFSET(CA40,0,-1)+1</f>
        <v>52</v>
      </c>
      <c r="CB40" s="14870">
        <f>OFFSET(CB40,0,-1)+1</f>
        <v>53</v>
      </c>
      <c r="CC40" s="14870">
        <f>OFFSET(CC40,0,-1)+1</f>
        <v>54</v>
      </c>
      <c r="CD40" s="14870">
        <f>OFFSET(CD40,0,-1)+1</f>
        <v>55</v>
      </c>
      <c r="CE40" s="14870"/>
      <c r="CF40" s="14870">
        <f>OFFSET(CF40,0,-2)+1</f>
        <v>56</v>
      </c>
      <c r="CG40" s="1472">
        <f>OFFSET(CG40,0,-1)</f>
        <v>56</v>
      </c>
      <c r="CH40" s="1678">
        <f>OFFSET(CH40,0,-1)+1</f>
        <v>57</v>
      </c>
      <c r="CI40" s="738"/>
      <c r="CJ40" s="738"/>
      <c r="CK40" s="738"/>
      <c r="CL40" s="738"/>
      <c r="CM40" s="738"/>
      <c r="CN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1</v>
      </c>
      <c r="T41" s="525" t="s">
        <v>123</v>
      </c>
      <c r="U41" s="527"/>
      <c r="V41" s="2469"/>
      <c r="W41" s="2470"/>
      <c r="X41" s="2470"/>
      <c r="Y41" s="2470"/>
      <c r="Z41" s="2470"/>
      <c r="AA41" s="2470"/>
      <c r="AB41" s="2471"/>
      <c r="AC41" s="2469" t="str">
        <f>INDEX(PT_DIFFERENTIATION_NTAR,MATCH(A41,PT_DIFFERENTIATION_NTAR_ID,0))</f>
        <v>Тариф  на  техническую  воду</v>
      </c>
      <c r="AD41" s="2470"/>
      <c r="AE41" s="2470"/>
      <c r="AF41" s="2470"/>
      <c r="AG41" s="2470"/>
      <c r="AH41" s="2470"/>
      <c r="AI41" s="2470"/>
      <c r="AJ41" s="4034"/>
      <c r="AK41" s="4035"/>
      <c r="AL41" s="4035"/>
      <c r="AM41" s="4035"/>
      <c r="AN41" s="4035"/>
      <c r="AO41" s="4035"/>
      <c r="AP41" s="4036"/>
      <c r="AQ41" s="4034"/>
      <c r="AR41" s="4035"/>
      <c r="AS41" s="4035"/>
      <c r="AT41" s="4035"/>
      <c r="AU41" s="4035"/>
      <c r="AV41" s="4035"/>
      <c r="AW41" s="4036"/>
      <c r="AX41" s="4034"/>
      <c r="AY41" s="4035"/>
      <c r="AZ41" s="4035"/>
      <c r="BA41" s="4035"/>
      <c r="BB41" s="4035"/>
      <c r="BC41" s="4035"/>
      <c r="BD41" s="4036"/>
      <c r="BE41" s="4034"/>
      <c r="BF41" s="4035"/>
      <c r="BG41" s="4035"/>
      <c r="BH41" s="4035"/>
      <c r="BI41" s="4035"/>
      <c r="BJ41" s="4035"/>
      <c r="BK41" s="4036"/>
      <c r="BL41" s="4034"/>
      <c r="BM41" s="4035"/>
      <c r="BN41" s="4035"/>
      <c r="BO41" s="4035"/>
      <c r="BP41" s="4035"/>
      <c r="BQ41" s="4035"/>
      <c r="BR41" s="4036"/>
      <c r="BS41" s="4034"/>
      <c r="BT41" s="4035"/>
      <c r="BU41" s="4035"/>
      <c r="BV41" s="4035"/>
      <c r="BW41" s="4035"/>
      <c r="BX41" s="4035"/>
      <c r="BY41" s="4036"/>
      <c r="BZ41" s="14673"/>
      <c r="CA41" s="14674"/>
      <c r="CB41" s="14674"/>
      <c r="CC41" s="14674"/>
      <c r="CD41" s="14674"/>
      <c r="CE41" s="14674"/>
      <c r="CF41" s="14675"/>
      <c r="CG41" s="2471"/>
      <c r="CH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727"/>
      <c r="CK41" s="727" t="str">
        <f>IF(T41="","",T41)</f>
        <v>Наименование тарифа</v>
      </c>
      <c r="CL41" s="727"/>
      <c r="CM41" s="727"/>
      <c r="CN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1.1</v>
      </c>
      <c r="T42" s="535" t="s">
        <v>402</v>
      </c>
      <c r="U42" s="527"/>
      <c r="V42" s="2469"/>
      <c r="W42" s="2470"/>
      <c r="X42" s="2470"/>
      <c r="Y42" s="2470"/>
      <c r="Z42" s="2470"/>
      <c r="AA42" s="2470"/>
      <c r="AB42" s="2471"/>
      <c r="AC42" s="2469" t="str">
        <f>INDEX(PT_DIFFERENTIATION_TER,MATCH(B42,PT_DIFFERENTIATION_TER_ID,0))</f>
        <v>без дифференциации</v>
      </c>
      <c r="AD42" s="2470"/>
      <c r="AE42" s="2470"/>
      <c r="AF42" s="2470"/>
      <c r="AG42" s="2470"/>
      <c r="AH42" s="2470"/>
      <c r="AI42" s="2470"/>
      <c r="AJ42" s="4034"/>
      <c r="AK42" s="4035"/>
      <c r="AL42" s="4035"/>
      <c r="AM42" s="4035"/>
      <c r="AN42" s="4035"/>
      <c r="AO42" s="4035"/>
      <c r="AP42" s="4036"/>
      <c r="AQ42" s="4034"/>
      <c r="AR42" s="4035"/>
      <c r="AS42" s="4035"/>
      <c r="AT42" s="4035"/>
      <c r="AU42" s="4035"/>
      <c r="AV42" s="4035"/>
      <c r="AW42" s="4036"/>
      <c r="AX42" s="4034"/>
      <c r="AY42" s="4035"/>
      <c r="AZ42" s="4035"/>
      <c r="BA42" s="4035"/>
      <c r="BB42" s="4035"/>
      <c r="BC42" s="4035"/>
      <c r="BD42" s="4036"/>
      <c r="BE42" s="4034"/>
      <c r="BF42" s="4035"/>
      <c r="BG42" s="4035"/>
      <c r="BH42" s="4035"/>
      <c r="BI42" s="4035"/>
      <c r="BJ42" s="4035"/>
      <c r="BK42" s="4036"/>
      <c r="BL42" s="4034"/>
      <c r="BM42" s="4035"/>
      <c r="BN42" s="4035"/>
      <c r="BO42" s="4035"/>
      <c r="BP42" s="4035"/>
      <c r="BQ42" s="4035"/>
      <c r="BR42" s="4036"/>
      <c r="BS42" s="4034"/>
      <c r="BT42" s="4035"/>
      <c r="BU42" s="4035"/>
      <c r="BV42" s="4035"/>
      <c r="BW42" s="4035"/>
      <c r="BX42" s="4035"/>
      <c r="BY42" s="4036"/>
      <c r="BZ42" s="14673"/>
      <c r="CA42" s="14674"/>
      <c r="CB42" s="14674"/>
      <c r="CC42" s="14674"/>
      <c r="CD42" s="14674"/>
      <c r="CE42" s="14674"/>
      <c r="CF42" s="14675"/>
      <c r="CG42" s="2471"/>
      <c r="CH42" s="1485" t="s">
        <v>403</v>
      </c>
      <c r="CJ42" s="727"/>
      <c r="CK42" s="727" t="str">
        <f>IF(T42="","",T42)</f>
        <v>Территория действия тарифа</v>
      </c>
      <c r="CL42" s="727"/>
      <c r="CM42" s="727"/>
      <c r="CN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1.1.1</v>
      </c>
      <c r="T43" s="536" t="s">
        <v>483</v>
      </c>
      <c r="U43" s="527"/>
      <c r="V43" s="2469"/>
      <c r="W43" s="2470"/>
      <c r="X43" s="2470"/>
      <c r="Y43" s="2470"/>
      <c r="Z43" s="2470"/>
      <c r="AA43" s="2470"/>
      <c r="AB43" s="2471"/>
      <c r="AC43" s="2469" t="str">
        <f>INDEX(PT_DIFFERENTIATION_CS,MATCH(C43,PT_DIFFERENTIATION_CS_ID,0))</f>
        <v>без дифференциации</v>
      </c>
      <c r="AD43" s="2470"/>
      <c r="AE43" s="2470"/>
      <c r="AF43" s="2470"/>
      <c r="AG43" s="2470"/>
      <c r="AH43" s="2470"/>
      <c r="AI43" s="2470"/>
      <c r="AJ43" s="4034"/>
      <c r="AK43" s="4035"/>
      <c r="AL43" s="4035"/>
      <c r="AM43" s="4035"/>
      <c r="AN43" s="4035"/>
      <c r="AO43" s="4035"/>
      <c r="AP43" s="4036"/>
      <c r="AQ43" s="4034"/>
      <c r="AR43" s="4035"/>
      <c r="AS43" s="4035"/>
      <c r="AT43" s="4035"/>
      <c r="AU43" s="4035"/>
      <c r="AV43" s="4035"/>
      <c r="AW43" s="4036"/>
      <c r="AX43" s="4034"/>
      <c r="AY43" s="4035"/>
      <c r="AZ43" s="4035"/>
      <c r="BA43" s="4035"/>
      <c r="BB43" s="4035"/>
      <c r="BC43" s="4035"/>
      <c r="BD43" s="4036"/>
      <c r="BE43" s="4034"/>
      <c r="BF43" s="4035"/>
      <c r="BG43" s="4035"/>
      <c r="BH43" s="4035"/>
      <c r="BI43" s="4035"/>
      <c r="BJ43" s="4035"/>
      <c r="BK43" s="4036"/>
      <c r="BL43" s="4034"/>
      <c r="BM43" s="4035"/>
      <c r="BN43" s="4035"/>
      <c r="BO43" s="4035"/>
      <c r="BP43" s="4035"/>
      <c r="BQ43" s="4035"/>
      <c r="BR43" s="4036"/>
      <c r="BS43" s="4034"/>
      <c r="BT43" s="4035"/>
      <c r="BU43" s="4035"/>
      <c r="BV43" s="4035"/>
      <c r="BW43" s="4035"/>
      <c r="BX43" s="4035"/>
      <c r="BY43" s="4036"/>
      <c r="BZ43" s="14673"/>
      <c r="CA43" s="14674"/>
      <c r="CB43" s="14674"/>
      <c r="CC43" s="14674"/>
      <c r="CD43" s="14674"/>
      <c r="CE43" s="14674"/>
      <c r="CF43" s="14675"/>
      <c r="CG43" s="2471"/>
      <c r="CH43" s="1485" t="s">
        <v>484</v>
      </c>
      <c r="CJ43" s="727"/>
      <c r="CK43" s="727" t="str">
        <f>IF(T43="","",T43)</f>
        <v>Наименование централизованной системы холодного водоснабжения</v>
      </c>
      <c r="CL43" s="727"/>
      <c r="CM43" s="727"/>
      <c r="CN43" s="1382">
        <v>23</v>
      </c>
    </row>
    <row customHeight="1" ht="24">
      <c r="A44" s="1590" t="s">
        <v>236</v>
      </c>
      <c r="B44" s="1590" t="s">
        <v>237</v>
      </c>
      <c r="C44" s="1590" t="s">
        <v>238</v>
      </c>
      <c r="D44" s="1590" t="s">
        <v>504</v>
      </c>
      <c r="E44" s="2486"/>
      <c r="F44" s="2486"/>
      <c r="G44" s="2486"/>
      <c r="H44" s="2486"/>
      <c r="I44" s="2483" t="str">
        <f>S43&amp;".1"</f>
        <v>1.1.1.1</v>
      </c>
      <c r="J44" s="1590"/>
      <c r="K44" s="1590"/>
      <c r="L44" s="1591"/>
      <c r="P44" s="2484">
        <v>1</v>
      </c>
      <c r="Q44" s="1677"/>
      <c r="R44" s="583"/>
      <c r="S44" s="1684" t="str">
        <f>$I44</f>
        <v>1.1.1.1</v>
      </c>
      <c r="T44" s="512" t="s">
        <v>485</v>
      </c>
      <c r="U44" s="527"/>
      <c r="V44" s="2577"/>
      <c r="W44" s="2578"/>
      <c r="X44" s="2578"/>
      <c r="Y44" s="2578"/>
      <c r="Z44" s="2578"/>
      <c r="AA44" s="2578"/>
      <c r="AB44" s="2579"/>
      <c r="AC44" s="2580" t="s">
        <v>505</v>
      </c>
      <c r="AD44" s="2581"/>
      <c r="AE44" s="2581"/>
      <c r="AF44" s="2581"/>
      <c r="AG44" s="2581"/>
      <c r="AH44" s="2581"/>
      <c r="AI44" s="2581"/>
      <c r="AJ44" s="4044"/>
      <c r="AK44" s="4045"/>
      <c r="AL44" s="4045"/>
      <c r="AM44" s="4045"/>
      <c r="AN44" s="4045"/>
      <c r="AO44" s="4045"/>
      <c r="AP44" s="4046"/>
      <c r="AQ44" s="4044"/>
      <c r="AR44" s="4045"/>
      <c r="AS44" s="4045"/>
      <c r="AT44" s="4045"/>
      <c r="AU44" s="4045"/>
      <c r="AV44" s="4045"/>
      <c r="AW44" s="4046"/>
      <c r="AX44" s="4044"/>
      <c r="AY44" s="4045"/>
      <c r="AZ44" s="4045"/>
      <c r="BA44" s="4045"/>
      <c r="BB44" s="4045"/>
      <c r="BC44" s="4045"/>
      <c r="BD44" s="4046"/>
      <c r="BE44" s="4044"/>
      <c r="BF44" s="4045"/>
      <c r="BG44" s="4045"/>
      <c r="BH44" s="4045"/>
      <c r="BI44" s="4045"/>
      <c r="BJ44" s="4045"/>
      <c r="BK44" s="4046"/>
      <c r="BL44" s="4044"/>
      <c r="BM44" s="4045"/>
      <c r="BN44" s="4045"/>
      <c r="BO44" s="4045"/>
      <c r="BP44" s="4045"/>
      <c r="BQ44" s="4045"/>
      <c r="BR44" s="4046"/>
      <c r="BS44" s="4044"/>
      <c r="BT44" s="4045"/>
      <c r="BU44" s="4045"/>
      <c r="BV44" s="4045"/>
      <c r="BW44" s="4045"/>
      <c r="BX44" s="4045"/>
      <c r="BY44" s="4046"/>
      <c r="BZ44" s="14678"/>
      <c r="CA44" s="14679"/>
      <c r="CB44" s="14679"/>
      <c r="CC44" s="14679"/>
      <c r="CD44" s="14679"/>
      <c r="CE44" s="14679"/>
      <c r="CF44" s="14680"/>
      <c r="CG44" s="2582"/>
      <c r="CH44" s="1485" t="s">
        <v>486</v>
      </c>
      <c r="CJ44" s="727"/>
      <c r="CK44" s="727" t="str">
        <f>IF(T44="","",T44)</f>
        <v>Наименование признака дифференциации</v>
      </c>
      <c r="CL44" s="727"/>
      <c r="CM44" s="727"/>
      <c r="CN44" s="1382">
        <v>23</v>
      </c>
    </row>
    <row customHeight="1" ht="24">
      <c r="A45" s="1590" t="s">
        <v>236</v>
      </c>
      <c r="B45" s="1590" t="s">
        <v>237</v>
      </c>
      <c r="C45" s="1590" t="s">
        <v>238</v>
      </c>
      <c r="D45" s="1590" t="s">
        <v>504</v>
      </c>
      <c r="E45" s="2486"/>
      <c r="F45" s="2486"/>
      <c r="G45" s="2486"/>
      <c r="H45" s="2486"/>
      <c r="I45" s="2513"/>
      <c r="J45" s="2483" t="str">
        <f>I44&amp;".1"</f>
        <v>1.1.1.1.1</v>
      </c>
      <c r="K45" s="1590"/>
      <c r="L45" s="1591" t="s">
        <v>411</v>
      </c>
      <c r="P45" s="2484"/>
      <c r="Q45" s="2484">
        <v>1</v>
      </c>
      <c r="R45" s="584"/>
      <c r="S45" s="1684" t="str">
        <f>$J45</f>
        <v>1.1.1.1.1</v>
      </c>
      <c r="T45" s="513" t="s">
        <v>412</v>
      </c>
      <c r="U45" s="527"/>
      <c r="V45" s="2472"/>
      <c r="W45" s="2473"/>
      <c r="X45" s="2473"/>
      <c r="Y45" s="2473"/>
      <c r="Z45" s="2473"/>
      <c r="AA45" s="2473"/>
      <c r="AB45" s="2474"/>
      <c r="AC45" s="2472" t="s">
        <v>500</v>
      </c>
      <c r="AD45" s="2473"/>
      <c r="AE45" s="2473"/>
      <c r="AF45" s="2473"/>
      <c r="AG45" s="2473"/>
      <c r="AH45" s="2473"/>
      <c r="AI45" s="2473"/>
      <c r="AJ45" s="4048"/>
      <c r="AK45" s="4049"/>
      <c r="AL45" s="4049"/>
      <c r="AM45" s="4049"/>
      <c r="AN45" s="4049"/>
      <c r="AO45" s="4049"/>
      <c r="AP45" s="4050"/>
      <c r="AQ45" s="4048"/>
      <c r="AR45" s="4049"/>
      <c r="AS45" s="4049"/>
      <c r="AT45" s="4049"/>
      <c r="AU45" s="4049"/>
      <c r="AV45" s="4049"/>
      <c r="AW45" s="4050"/>
      <c r="AX45" s="4048"/>
      <c r="AY45" s="4049"/>
      <c r="AZ45" s="4049"/>
      <c r="BA45" s="4049"/>
      <c r="BB45" s="4049"/>
      <c r="BC45" s="4049"/>
      <c r="BD45" s="4050"/>
      <c r="BE45" s="4048"/>
      <c r="BF45" s="4049"/>
      <c r="BG45" s="4049"/>
      <c r="BH45" s="4049"/>
      <c r="BI45" s="4049"/>
      <c r="BJ45" s="4049"/>
      <c r="BK45" s="4050"/>
      <c r="BL45" s="4048"/>
      <c r="BM45" s="4049"/>
      <c r="BN45" s="4049"/>
      <c r="BO45" s="4049"/>
      <c r="BP45" s="4049"/>
      <c r="BQ45" s="4049"/>
      <c r="BR45" s="4050"/>
      <c r="BS45" s="4048"/>
      <c r="BT45" s="4049"/>
      <c r="BU45" s="4049"/>
      <c r="BV45" s="4049"/>
      <c r="BW45" s="4049"/>
      <c r="BX45" s="4049"/>
      <c r="BY45" s="4050"/>
      <c r="BZ45" s="14681"/>
      <c r="CA45" s="14682"/>
      <c r="CB45" s="14682"/>
      <c r="CC45" s="14682"/>
      <c r="CD45" s="14682"/>
      <c r="CE45" s="14682"/>
      <c r="CF45" s="14683"/>
      <c r="CG45" s="2474"/>
      <c r="CH45" s="1534" t="s">
        <v>487</v>
      </c>
      <c r="CJ45" s="727"/>
      <c r="CK45" s="727" t="str">
        <f>IF(T45="","",T45)</f>
        <v>Группа потребителей</v>
      </c>
      <c r="CL45" s="727"/>
      <c r="CM45" s="727"/>
      <c r="CN45" s="1382">
        <v>23</v>
      </c>
    </row>
    <row customHeight="1" ht="24">
      <c r="A46" s="1590" t="s">
        <v>236</v>
      </c>
      <c r="B46" s="1590" t="s">
        <v>237</v>
      </c>
      <c r="C46" s="1590" t="s">
        <v>238</v>
      </c>
      <c r="D46" s="1590" t="s">
        <v>504</v>
      </c>
      <c r="E46" s="2486"/>
      <c r="F46" s="2486"/>
      <c r="G46" s="2486"/>
      <c r="H46" s="2486"/>
      <c r="I46" s="2513"/>
      <c r="J46" s="2513"/>
      <c r="K46" s="2483" t="str">
        <f>J45&amp;".1"</f>
        <v>1.1.1.1.1.1</v>
      </c>
      <c r="L46" s="1591"/>
      <c r="P46" s="2484"/>
      <c r="Q46" s="2484"/>
      <c r="R46" s="584">
        <v>1</v>
      </c>
      <c r="S46" s="1684" t="str">
        <f>$K46</f>
        <v>1.1.1.1.1.1</v>
      </c>
      <c r="T46" s="1664" t="s">
        <v>501</v>
      </c>
      <c r="U46" s="527"/>
      <c r="V46" s="978"/>
      <c r="W46" s="978"/>
      <c r="X46" s="1484"/>
      <c r="Y46" s="2492"/>
      <c r="Z46" s="2334" t="s">
        <v>66</v>
      </c>
      <c r="AA46" s="2492"/>
      <c r="AB46" s="2334" t="s">
        <v>66</v>
      </c>
      <c r="AC46" s="978">
        <v>14.27</v>
      </c>
      <c r="AD46" s="978"/>
      <c r="AE46" s="1484"/>
      <c r="AF46" s="14686">
        <v>45292</v>
      </c>
      <c r="AG46" s="2334" t="s">
        <v>66</v>
      </c>
      <c r="AH46" s="14871">
        <v>45473</v>
      </c>
      <c r="AI46" s="2334" t="s">
        <v>66</v>
      </c>
      <c r="AJ46" s="4052">
        <v>16.33</v>
      </c>
      <c r="AK46" s="4052"/>
      <c r="AL46" s="4053"/>
      <c r="AM46" s="14686">
        <v>45474</v>
      </c>
      <c r="AN46" s="4055" t="s">
        <v>66</v>
      </c>
      <c r="AO46" s="14686">
        <v>45657</v>
      </c>
      <c r="AP46" s="4055" t="s">
        <v>66</v>
      </c>
      <c r="AQ46" s="4052">
        <v>15.01</v>
      </c>
      <c r="AR46" s="4052"/>
      <c r="AS46" s="4053"/>
      <c r="AT46" s="14686">
        <v>45658</v>
      </c>
      <c r="AU46" s="4055" t="s">
        <v>66</v>
      </c>
      <c r="AV46" s="14686">
        <v>45838</v>
      </c>
      <c r="AW46" s="4055" t="s">
        <v>66</v>
      </c>
      <c r="AX46" s="4052">
        <v>19.16</v>
      </c>
      <c r="AY46" s="4052"/>
      <c r="AZ46" s="4053"/>
      <c r="BA46" s="14686">
        <v>45839</v>
      </c>
      <c r="BB46" s="4055" t="s">
        <v>66</v>
      </c>
      <c r="BC46" s="14686">
        <v>46022</v>
      </c>
      <c r="BD46" s="4055" t="s">
        <v>66</v>
      </c>
      <c r="BE46" s="4052">
        <v>15.47</v>
      </c>
      <c r="BF46" s="4052"/>
      <c r="BG46" s="4053"/>
      <c r="BH46" s="14686">
        <v>46023</v>
      </c>
      <c r="BI46" s="4055" t="s">
        <v>66</v>
      </c>
      <c r="BJ46" s="14686">
        <v>46203</v>
      </c>
      <c r="BK46" s="4055" t="s">
        <v>66</v>
      </c>
      <c r="BL46" s="4052">
        <v>15.88</v>
      </c>
      <c r="BM46" s="4052"/>
      <c r="BN46" s="4053"/>
      <c r="BO46" s="14686">
        <v>46204</v>
      </c>
      <c r="BP46" s="4055" t="s">
        <v>66</v>
      </c>
      <c r="BQ46" s="14686">
        <v>46568</v>
      </c>
      <c r="BR46" s="4055" t="s">
        <v>66</v>
      </c>
      <c r="BS46" s="4052">
        <v>16.36</v>
      </c>
      <c r="BT46" s="4052"/>
      <c r="BU46" s="4053"/>
      <c r="BV46" s="14686">
        <v>46569</v>
      </c>
      <c r="BW46" s="4055" t="s">
        <v>66</v>
      </c>
      <c r="BX46" s="14686">
        <v>46934</v>
      </c>
      <c r="BY46" s="4055" t="s">
        <v>66</v>
      </c>
      <c r="BZ46" s="14684">
        <v>16.79</v>
      </c>
      <c r="CA46" s="14684"/>
      <c r="CB46" s="14685"/>
      <c r="CC46" s="14686">
        <v>46935</v>
      </c>
      <c r="CD46" s="14687" t="s">
        <v>66</v>
      </c>
      <c r="CE46" s="14686">
        <v>47118</v>
      </c>
      <c r="CF46" s="14687" t="s">
        <v>66</v>
      </c>
      <c r="CG46" s="1665"/>
      <c r="CH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738">
        <f>STRCHECKDATE(V47:CG47)</f>
      </c>
      <c r="CJ46" s="727"/>
      <c r="CK46" s="727" t="str">
        <f>IF(T46="","",T46)</f>
        <v>Население  ( с учетом НДС 20%)</v>
      </c>
      <c r="CL46" s="727"/>
      <c r="CM46" s="727"/>
      <c r="CN46" s="1382">
        <v>23</v>
      </c>
    </row>
    <row customHeight="1" ht="0">
      <c r="A47" s="1590" t="s">
        <v>236</v>
      </c>
      <c r="B47" s="1590" t="s">
        <v>237</v>
      </c>
      <c r="C47" s="1590" t="s">
        <v>238</v>
      </c>
      <c r="D47" s="1590" t="s">
        <v>504</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45292-45473</v>
      </c>
      <c r="AF47" s="2493"/>
      <c r="AG47" s="2334"/>
      <c r="AH47" s="2515"/>
      <c r="AI47" s="2334"/>
      <c r="AJ47" s="4059"/>
      <c r="AK47" s="4059"/>
      <c r="AL47" s="4060" t="str">
        <f>AM46&amp;"-"&amp;AO46</f>
        <v>45474-45657</v>
      </c>
      <c r="AM47" s="4061"/>
      <c r="AN47" s="4055"/>
      <c r="AO47" s="4061"/>
      <c r="AP47" s="4055"/>
      <c r="AQ47" s="4059"/>
      <c r="AR47" s="4059"/>
      <c r="AS47" s="4060" t="str">
        <f>AT46&amp;"-"&amp;AV46</f>
        <v>45658-45838</v>
      </c>
      <c r="AT47" s="4061"/>
      <c r="AU47" s="4055"/>
      <c r="AV47" s="4061"/>
      <c r="AW47" s="4055"/>
      <c r="AX47" s="4059"/>
      <c r="AY47" s="4059"/>
      <c r="AZ47" s="4060" t="str">
        <f>BA46&amp;"-"&amp;BC46</f>
        <v>45839-46022</v>
      </c>
      <c r="BA47" s="4061"/>
      <c r="BB47" s="4055"/>
      <c r="BC47" s="4061"/>
      <c r="BD47" s="4055"/>
      <c r="BE47" s="4059"/>
      <c r="BF47" s="4059"/>
      <c r="BG47" s="4060" t="str">
        <f>BH46&amp;"-"&amp;BJ46</f>
        <v>46023-46203</v>
      </c>
      <c r="BH47" s="4061"/>
      <c r="BI47" s="4055"/>
      <c r="BJ47" s="4061"/>
      <c r="BK47" s="4055"/>
      <c r="BL47" s="4059"/>
      <c r="BM47" s="4059"/>
      <c r="BN47" s="4060" t="str">
        <f>BO46&amp;"-"&amp;BQ46</f>
        <v>46204-46568</v>
      </c>
      <c r="BO47" s="4061"/>
      <c r="BP47" s="4055"/>
      <c r="BQ47" s="4061"/>
      <c r="BR47" s="4055"/>
      <c r="BS47" s="4059"/>
      <c r="BT47" s="4059"/>
      <c r="BU47" s="4060" t="str">
        <f>BV46&amp;"-"&amp;BX46</f>
        <v>46569-46934</v>
      </c>
      <c r="BV47" s="4061"/>
      <c r="BW47" s="4055"/>
      <c r="BX47" s="4061"/>
      <c r="BY47" s="4055"/>
      <c r="BZ47" s="14689"/>
      <c r="CA47" s="14689"/>
      <c r="CB47" s="14690" t="str">
        <f>CC46&amp;"-"&amp;CE46</f>
        <v>46935-47118</v>
      </c>
      <c r="CC47" s="14691"/>
      <c r="CD47" s="14687"/>
      <c r="CE47" s="14691"/>
      <c r="CF47" s="14687"/>
      <c r="CG47" s="1666"/>
      <c r="CH47" s="2576"/>
      <c r="CJ47" s="727"/>
      <c r="CK47" s="727" t="str">
        <f>IF(T47="","",T47)</f>
        <v/>
      </c>
      <c r="CL47" s="727"/>
      <c r="CM47" s="727"/>
      <c r="CN47" s="1382">
        <v>0</v>
      </c>
    </row>
    <row customHeight="1" ht="21">
      <c r="A48" s="1590" t="s">
        <v>236</v>
      </c>
      <c r="B48" s="1590" t="s">
        <v>237</v>
      </c>
      <c r="C48" s="1590" t="s">
        <v>238</v>
      </c>
      <c r="D48" s="1590" t="s">
        <v>504</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4579"/>
      <c r="AK48" s="4580"/>
      <c r="AL48" s="4581"/>
      <c r="AM48" s="4582"/>
      <c r="AN48" s="4583"/>
      <c r="AO48" s="4584"/>
      <c r="AP48" s="4585"/>
      <c r="AQ48" s="4586"/>
      <c r="AR48" s="4587"/>
      <c r="AS48" s="4588"/>
      <c r="AT48" s="4589"/>
      <c r="AU48" s="4590"/>
      <c r="AV48" s="4591"/>
      <c r="AW48" s="4592"/>
      <c r="AX48" s="4593"/>
      <c r="AY48" s="4594"/>
      <c r="AZ48" s="4595"/>
      <c r="BA48" s="4596"/>
      <c r="BB48" s="4597"/>
      <c r="BC48" s="4598"/>
      <c r="BD48" s="4599"/>
      <c r="BE48" s="4600"/>
      <c r="BF48" s="4601"/>
      <c r="BG48" s="4602"/>
      <c r="BH48" s="4603"/>
      <c r="BI48" s="4604"/>
      <c r="BJ48" s="4605"/>
      <c r="BK48" s="4606"/>
      <c r="BL48" s="4607"/>
      <c r="BM48" s="4608"/>
      <c r="BN48" s="4609"/>
      <c r="BO48" s="4610"/>
      <c r="BP48" s="4611"/>
      <c r="BQ48" s="4612"/>
      <c r="BR48" s="4613"/>
      <c r="BS48" s="4614"/>
      <c r="BT48" s="4615"/>
      <c r="BU48" s="4616"/>
      <c r="BV48" s="4617"/>
      <c r="BW48" s="4618"/>
      <c r="BX48" s="4619"/>
      <c r="BY48" s="4620"/>
      <c r="BZ48" s="14914"/>
      <c r="CA48" s="14915"/>
      <c r="CB48" s="14916"/>
      <c r="CC48" s="14917"/>
      <c r="CD48" s="14918"/>
      <c r="CE48" s="14919"/>
      <c r="CF48" s="14920"/>
      <c r="CG48" s="594"/>
      <c r="CH48" s="1485" t="s">
        <v>489</v>
      </c>
      <c r="CJ48" s="727"/>
      <c r="CK48" s="727" t="str">
        <f>IF(T48="","",T48)</f>
        <v>Добавить значение признака дифференциации</v>
      </c>
      <c r="CL48" s="727"/>
      <c r="CM48" s="727"/>
      <c r="CN48" s="1382">
        <v>20</v>
      </c>
    </row>
    <row s="14921" customFormat="1" customHeight="1" ht="23.25">
      <c r="A49" s="4273"/>
      <c r="B49" s="4273"/>
      <c r="C49" s="4273"/>
      <c r="D49" s="4273"/>
      <c r="E49" s="4274"/>
      <c r="F49" s="4274"/>
      <c r="G49" s="4274"/>
      <c r="H49" s="4274"/>
      <c r="I49" s="4275"/>
      <c r="J49" s="4276" t="str">
        <f>I44&amp;".2"</f>
        <v>1.1.1.1.2</v>
      </c>
      <c r="K49" s="4273"/>
      <c r="L49" s="4277" t="s">
        <v>411</v>
      </c>
      <c r="M49" s="4278"/>
      <c r="N49" s="4278"/>
      <c r="O49" s="4278"/>
      <c r="P49" s="4279"/>
      <c r="Q49" s="4280" t="s">
        <v>491</v>
      </c>
      <c r="R49" s="4281"/>
      <c r="S49" s="4282" t="str">
        <f>$J49</f>
        <v>1.1.1.1.2</v>
      </c>
      <c r="T49" s="4283" t="s">
        <v>412</v>
      </c>
      <c r="U49" s="4284"/>
      <c r="V49" s="4048"/>
      <c r="W49" s="4049"/>
      <c r="X49" s="4049"/>
      <c r="Y49" s="4049"/>
      <c r="Z49" s="4049"/>
      <c r="AA49" s="4049"/>
      <c r="AB49" s="4050"/>
      <c r="AC49" s="4048" t="s">
        <v>502</v>
      </c>
      <c r="AD49" s="4049"/>
      <c r="AE49" s="4049"/>
      <c r="AF49" s="4049"/>
      <c r="AG49" s="4049"/>
      <c r="AH49" s="4049"/>
      <c r="AI49" s="4049"/>
      <c r="AJ49" s="4048"/>
      <c r="AK49" s="4049"/>
      <c r="AL49" s="4049"/>
      <c r="AM49" s="4049"/>
      <c r="AN49" s="4049"/>
      <c r="AO49" s="4049"/>
      <c r="AP49" s="4050"/>
      <c r="AQ49" s="4048"/>
      <c r="AR49" s="4049"/>
      <c r="AS49" s="4049"/>
      <c r="AT49" s="4049"/>
      <c r="AU49" s="4049"/>
      <c r="AV49" s="4049"/>
      <c r="AW49" s="4050"/>
      <c r="AX49" s="4048"/>
      <c r="AY49" s="4049"/>
      <c r="AZ49" s="4049"/>
      <c r="BA49" s="4049"/>
      <c r="BB49" s="4049"/>
      <c r="BC49" s="4049"/>
      <c r="BD49" s="4050"/>
      <c r="BE49" s="4048"/>
      <c r="BF49" s="4049"/>
      <c r="BG49" s="4049"/>
      <c r="BH49" s="4049"/>
      <c r="BI49" s="4049"/>
      <c r="BJ49" s="4049"/>
      <c r="BK49" s="4050"/>
      <c r="BL49" s="4048"/>
      <c r="BM49" s="4049"/>
      <c r="BN49" s="4049"/>
      <c r="BO49" s="4049"/>
      <c r="BP49" s="4049"/>
      <c r="BQ49" s="4049"/>
      <c r="BR49" s="4050"/>
      <c r="BS49" s="4048"/>
      <c r="BT49" s="4049"/>
      <c r="BU49" s="4049"/>
      <c r="BV49" s="4049"/>
      <c r="BW49" s="4049"/>
      <c r="BX49" s="4049"/>
      <c r="BY49" s="4050"/>
      <c r="BZ49" s="14681"/>
      <c r="CA49" s="14682"/>
      <c r="CB49" s="14682"/>
      <c r="CC49" s="14682"/>
      <c r="CD49" s="14682"/>
      <c r="CE49" s="14682"/>
      <c r="CF49" s="14683"/>
      <c r="CG49" s="4050"/>
      <c r="CH49" s="4285" t="s">
        <v>487</v>
      </c>
      <c r="CI49" s="4204"/>
      <c r="CJ49" s="4286"/>
      <c r="CK49" s="4286" t="str">
        <f>IF(T49="","",T49)</f>
        <v>Группа потребителей</v>
      </c>
      <c r="CL49" s="4286"/>
      <c r="CM49" s="4286"/>
      <c r="CN49" s="4032">
        <v>0</v>
      </c>
    </row>
    <row s="14922" customFormat="1" customHeight="1" ht="23.25">
      <c r="A50" s="4273"/>
      <c r="B50" s="4273"/>
      <c r="C50" s="4273"/>
      <c r="D50" s="4273"/>
      <c r="E50" s="4274"/>
      <c r="F50" s="4274"/>
      <c r="G50" s="4274"/>
      <c r="H50" s="4274"/>
      <c r="I50" s="4275"/>
      <c r="J50" s="4275" t="str">
        <f>I44&amp;".1"</f>
        <v>1.1.1.1.1</v>
      </c>
      <c r="K50" s="4276" t="str">
        <f>J49&amp;".1"</f>
        <v>1.1.1.1.2.1</v>
      </c>
      <c r="L50" s="4277"/>
      <c r="M50" s="4278"/>
      <c r="N50" s="4278"/>
      <c r="O50" s="4278"/>
      <c r="P50" s="4279"/>
      <c r="Q50" s="4279"/>
      <c r="R50" s="4281">
        <v>1</v>
      </c>
      <c r="S50" s="4282" t="str">
        <f>$K50</f>
        <v>1.1.1.1.2.1</v>
      </c>
      <c r="T50" s="4288" t="s">
        <v>503</v>
      </c>
      <c r="U50" s="4284"/>
      <c r="V50" s="4052"/>
      <c r="W50" s="4052"/>
      <c r="X50" s="4053"/>
      <c r="Y50" s="4054"/>
      <c r="Z50" s="4055" t="s">
        <v>66</v>
      </c>
      <c r="AA50" s="4054"/>
      <c r="AB50" s="4055" t="s">
        <v>66</v>
      </c>
      <c r="AC50" s="4052">
        <v>11.89</v>
      </c>
      <c r="AD50" s="4052"/>
      <c r="AE50" s="4053"/>
      <c r="AF50" s="4054">
        <v>45292</v>
      </c>
      <c r="AG50" s="4055" t="s">
        <v>66</v>
      </c>
      <c r="AH50" s="4227">
        <v>45473</v>
      </c>
      <c r="AI50" s="4055" t="s">
        <v>66</v>
      </c>
      <c r="AJ50" s="4052">
        <v>13.61</v>
      </c>
      <c r="AK50" s="4052"/>
      <c r="AL50" s="4053"/>
      <c r="AM50" s="14686">
        <v>45474</v>
      </c>
      <c r="AN50" s="4055" t="s">
        <v>66</v>
      </c>
      <c r="AO50" s="14686">
        <v>45657</v>
      </c>
      <c r="AP50" s="4055" t="s">
        <v>66</v>
      </c>
      <c r="AQ50" s="4052">
        <v>12.51</v>
      </c>
      <c r="AR50" s="4052"/>
      <c r="AS50" s="4053"/>
      <c r="AT50" s="14686">
        <v>45658</v>
      </c>
      <c r="AU50" s="4055" t="s">
        <v>66</v>
      </c>
      <c r="AV50" s="14686">
        <v>45838</v>
      </c>
      <c r="AW50" s="4055" t="s">
        <v>66</v>
      </c>
      <c r="AX50" s="4052">
        <v>15.97</v>
      </c>
      <c r="AY50" s="4052"/>
      <c r="AZ50" s="4053"/>
      <c r="BA50" s="14686">
        <v>45839</v>
      </c>
      <c r="BB50" s="4055" t="s">
        <v>66</v>
      </c>
      <c r="BC50" s="14686">
        <v>46022</v>
      </c>
      <c r="BD50" s="4055" t="s">
        <v>66</v>
      </c>
      <c r="BE50" s="4052">
        <v>12.89</v>
      </c>
      <c r="BF50" s="4052"/>
      <c r="BG50" s="4053"/>
      <c r="BH50" s="14686">
        <v>46023</v>
      </c>
      <c r="BI50" s="4055" t="s">
        <v>66</v>
      </c>
      <c r="BJ50" s="14686">
        <v>46203</v>
      </c>
      <c r="BK50" s="4055" t="s">
        <v>66</v>
      </c>
      <c r="BL50" s="4052">
        <v>13.23</v>
      </c>
      <c r="BM50" s="4052"/>
      <c r="BN50" s="4053"/>
      <c r="BO50" s="14686">
        <v>46204</v>
      </c>
      <c r="BP50" s="4055" t="s">
        <v>66</v>
      </c>
      <c r="BQ50" s="14686">
        <v>46568</v>
      </c>
      <c r="BR50" s="4055" t="s">
        <v>66</v>
      </c>
      <c r="BS50" s="4052">
        <v>13.63</v>
      </c>
      <c r="BT50" s="4052"/>
      <c r="BU50" s="4053"/>
      <c r="BV50" s="14686">
        <v>46569</v>
      </c>
      <c r="BW50" s="4055" t="s">
        <v>66</v>
      </c>
      <c r="BX50" s="14686">
        <v>46934</v>
      </c>
      <c r="BY50" s="4055" t="s">
        <v>66</v>
      </c>
      <c r="BZ50" s="14684">
        <v>13.99</v>
      </c>
      <c r="CA50" s="14684"/>
      <c r="CB50" s="14685"/>
      <c r="CC50" s="14686">
        <v>46935</v>
      </c>
      <c r="CD50" s="14687" t="s">
        <v>66</v>
      </c>
      <c r="CE50" s="14686">
        <v>47118</v>
      </c>
      <c r="CF50" s="14687" t="s">
        <v>66</v>
      </c>
      <c r="CG50" s="4289"/>
      <c r="CH50" s="4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50" s="4204">
        <f>STRCHECKDATE(V51:CG51)</f>
      </c>
      <c r="CJ50" s="4286"/>
      <c r="CK50" s="4286" t="str">
        <f>IF(T50="","",T50)</f>
        <v>Прочие ( без  учета  НДС 20%)</v>
      </c>
      <c r="CL50" s="4286"/>
      <c r="CM50" s="4286"/>
      <c r="CN50" s="4032">
        <v>0</v>
      </c>
    </row>
    <row s="14923" customFormat="1" customHeight="1" ht="14.25">
      <c r="A51" s="4273"/>
      <c r="B51" s="4273"/>
      <c r="C51" s="4273"/>
      <c r="D51" s="4273"/>
      <c r="E51" s="4274"/>
      <c r="F51" s="4274"/>
      <c r="G51" s="4274"/>
      <c r="H51" s="4274"/>
      <c r="I51" s="4275"/>
      <c r="J51" s="4275" t="str">
        <f>I44&amp;".1"</f>
        <v>1.1.1.1.1</v>
      </c>
      <c r="K51" s="4276"/>
      <c r="L51" s="4277"/>
      <c r="M51" s="4278"/>
      <c r="N51" s="4278"/>
      <c r="O51" s="4278"/>
      <c r="P51" s="4279"/>
      <c r="Q51" s="4279"/>
      <c r="R51" s="4281"/>
      <c r="S51" s="4292"/>
      <c r="T51" s="4284"/>
      <c r="U51" s="4284"/>
      <c r="V51" s="4059"/>
      <c r="W51" s="4059"/>
      <c r="X51" s="4060" t="str">
        <f>Y50&amp;"-"&amp;AA50</f>
        <v>-</v>
      </c>
      <c r="Y51" s="4061"/>
      <c r="Z51" s="4055"/>
      <c r="AA51" s="4061"/>
      <c r="AB51" s="4055"/>
      <c r="AC51" s="4059"/>
      <c r="AD51" s="4059"/>
      <c r="AE51" s="4060" t="str">
        <f>AF50&amp;"-"&amp;AH50</f>
        <v>45292-45473</v>
      </c>
      <c r="AF51" s="4061"/>
      <c r="AG51" s="4055"/>
      <c r="AH51" s="4229"/>
      <c r="AI51" s="4055"/>
      <c r="AJ51" s="4059"/>
      <c r="AK51" s="4059"/>
      <c r="AL51" s="4060" t="str">
        <f>AM50&amp;"-"&amp;AO50</f>
        <v>45474-45657</v>
      </c>
      <c r="AM51" s="4061"/>
      <c r="AN51" s="4055"/>
      <c r="AO51" s="4061"/>
      <c r="AP51" s="4055"/>
      <c r="AQ51" s="4059"/>
      <c r="AR51" s="4059"/>
      <c r="AS51" s="4060" t="str">
        <f>AT50&amp;"-"&amp;AV50</f>
        <v>45658-45838</v>
      </c>
      <c r="AT51" s="4061"/>
      <c r="AU51" s="4055"/>
      <c r="AV51" s="4061"/>
      <c r="AW51" s="4055"/>
      <c r="AX51" s="4059"/>
      <c r="AY51" s="4059"/>
      <c r="AZ51" s="4060" t="str">
        <f>BA50&amp;"-"&amp;BC50</f>
        <v>45839-46022</v>
      </c>
      <c r="BA51" s="4061"/>
      <c r="BB51" s="4055"/>
      <c r="BC51" s="4061"/>
      <c r="BD51" s="4055"/>
      <c r="BE51" s="4059"/>
      <c r="BF51" s="4059"/>
      <c r="BG51" s="4060" t="str">
        <f>BH50&amp;"-"&amp;BJ50</f>
        <v>46023-46203</v>
      </c>
      <c r="BH51" s="4061"/>
      <c r="BI51" s="4055"/>
      <c r="BJ51" s="4061"/>
      <c r="BK51" s="4055"/>
      <c r="BL51" s="4059"/>
      <c r="BM51" s="4059"/>
      <c r="BN51" s="4060" t="str">
        <f>BO50&amp;"-"&amp;BQ50</f>
        <v>46204-46568</v>
      </c>
      <c r="BO51" s="4061"/>
      <c r="BP51" s="4055"/>
      <c r="BQ51" s="4061"/>
      <c r="BR51" s="4055"/>
      <c r="BS51" s="4059"/>
      <c r="BT51" s="4059"/>
      <c r="BU51" s="4060" t="str">
        <f>BV50&amp;"-"&amp;BX50</f>
        <v>46569-46934</v>
      </c>
      <c r="BV51" s="4061"/>
      <c r="BW51" s="4055"/>
      <c r="BX51" s="4061"/>
      <c r="BY51" s="4055"/>
      <c r="BZ51" s="14689"/>
      <c r="CA51" s="14689"/>
      <c r="CB51" s="14690" t="str">
        <f>CC50&amp;"-"&amp;CE50</f>
        <v>46935-47118</v>
      </c>
      <c r="CC51" s="14691"/>
      <c r="CD51" s="14687"/>
      <c r="CE51" s="14691"/>
      <c r="CF51" s="14687"/>
      <c r="CG51" s="4293"/>
      <c r="CH51" s="4290"/>
      <c r="CI51" s="4204"/>
      <c r="CJ51" s="4286"/>
      <c r="CK51" s="4286" t="str">
        <f>IF(T51="","",T51)</f>
        <v/>
      </c>
      <c r="CL51" s="4286"/>
      <c r="CM51" s="4286"/>
      <c r="CN51" s="4032">
        <v>0</v>
      </c>
    </row>
    <row s="14924" customFormat="1" customHeight="1" ht="21">
      <c r="A52" s="4273"/>
      <c r="B52" s="4273"/>
      <c r="C52" s="4273"/>
      <c r="D52" s="4273"/>
      <c r="E52" s="4274"/>
      <c r="F52" s="4274"/>
      <c r="G52" s="4274"/>
      <c r="H52" s="4274"/>
      <c r="I52" s="4275"/>
      <c r="J52" s="4276" t="str">
        <f>I44&amp;".1"</f>
        <v>1.1.1.1.1</v>
      </c>
      <c r="K52" s="4273"/>
      <c r="L52" s="4277"/>
      <c r="M52" s="4278"/>
      <c r="N52" s="4278"/>
      <c r="O52" s="4278"/>
      <c r="P52" s="4279"/>
      <c r="Q52" s="4279"/>
      <c r="R52" s="4295"/>
      <c r="S52" s="4625"/>
      <c r="T52" s="4626" t="s">
        <v>488</v>
      </c>
      <c r="U52" s="4627"/>
      <c r="V52" s="4628"/>
      <c r="W52" s="4629"/>
      <c r="X52" s="4630"/>
      <c r="Y52" s="4631"/>
      <c r="Z52" s="4632"/>
      <c r="AA52" s="4633"/>
      <c r="AB52" s="4634"/>
      <c r="AC52" s="4635"/>
      <c r="AD52" s="4636"/>
      <c r="AE52" s="4637"/>
      <c r="AF52" s="4638"/>
      <c r="AG52" s="4639"/>
      <c r="AH52" s="4640"/>
      <c r="AI52" s="4641"/>
      <c r="AJ52" s="4642"/>
      <c r="AK52" s="4643"/>
      <c r="AL52" s="4644"/>
      <c r="AM52" s="4645"/>
      <c r="AN52" s="4646"/>
      <c r="AO52" s="4647"/>
      <c r="AP52" s="4648"/>
      <c r="AQ52" s="4649"/>
      <c r="AR52" s="4650"/>
      <c r="AS52" s="4651"/>
      <c r="AT52" s="4652"/>
      <c r="AU52" s="4653"/>
      <c r="AV52" s="4654"/>
      <c r="AW52" s="4655"/>
      <c r="AX52" s="4656"/>
      <c r="AY52" s="4657"/>
      <c r="AZ52" s="4658"/>
      <c r="BA52" s="4659"/>
      <c r="BB52" s="4660"/>
      <c r="BC52" s="4661"/>
      <c r="BD52" s="4662"/>
      <c r="BE52" s="4663"/>
      <c r="BF52" s="4664"/>
      <c r="BG52" s="4665"/>
      <c r="BH52" s="4666"/>
      <c r="BI52" s="4667"/>
      <c r="BJ52" s="4668"/>
      <c r="BK52" s="4669"/>
      <c r="BL52" s="4670"/>
      <c r="BM52" s="4671"/>
      <c r="BN52" s="4672"/>
      <c r="BO52" s="4673"/>
      <c r="BP52" s="4674"/>
      <c r="BQ52" s="4675"/>
      <c r="BR52" s="4676"/>
      <c r="BS52" s="4677"/>
      <c r="BT52" s="4678"/>
      <c r="BU52" s="4679"/>
      <c r="BV52" s="4680"/>
      <c r="BW52" s="4681"/>
      <c r="BX52" s="4682"/>
      <c r="BY52" s="4683"/>
      <c r="BZ52" s="14984"/>
      <c r="CA52" s="14985"/>
      <c r="CB52" s="14986"/>
      <c r="CC52" s="14987"/>
      <c r="CD52" s="14988"/>
      <c r="CE52" s="14989"/>
      <c r="CF52" s="14990"/>
      <c r="CG52" s="4684"/>
      <c r="CH52" s="4356" t="s">
        <v>489</v>
      </c>
      <c r="CI52" s="4204"/>
      <c r="CJ52" s="4286"/>
      <c r="CK52" s="4286" t="str">
        <f>IF(T52="","",T52)</f>
        <v>Добавить значение признака дифференциации</v>
      </c>
      <c r="CL52" s="4286"/>
      <c r="CM52" s="4286"/>
      <c r="CN52" s="4032">
        <v>0</v>
      </c>
    </row>
    <row customHeight="1" ht="22.049999999999997">
      <c r="A53" s="1590" t="s">
        <v>236</v>
      </c>
      <c r="B53" s="1590" t="s">
        <v>237</v>
      </c>
      <c r="C53" s="1590" t="s">
        <v>238</v>
      </c>
      <c r="D53" s="1590" t="s">
        <v>504</v>
      </c>
      <c r="E53" s="2486"/>
      <c r="F53" s="2486"/>
      <c r="G53" s="2486"/>
      <c r="H53" s="2486"/>
      <c r="I53" s="2483"/>
      <c r="J53" s="1590"/>
      <c r="K53" s="1590"/>
      <c r="L53" s="1591"/>
      <c r="P53" s="2484"/>
      <c r="Q53" s="1677"/>
      <c r="R53" s="583"/>
      <c r="S53" s="1505"/>
      <c r="T53" s="592" t="s">
        <v>417</v>
      </c>
      <c r="U53" s="594"/>
      <c r="V53" s="594"/>
      <c r="W53" s="594"/>
      <c r="X53" s="594"/>
      <c r="Y53" s="594"/>
      <c r="Z53" s="594"/>
      <c r="AA53" s="594"/>
      <c r="AB53" s="593"/>
      <c r="AC53" s="594"/>
      <c r="AD53" s="594"/>
      <c r="AE53" s="594"/>
      <c r="AF53" s="594"/>
      <c r="AG53" s="594"/>
      <c r="AH53" s="594"/>
      <c r="AI53" s="593"/>
      <c r="AJ53" s="4685"/>
      <c r="AK53" s="4686"/>
      <c r="AL53" s="4687"/>
      <c r="AM53" s="4688"/>
      <c r="AN53" s="4689"/>
      <c r="AO53" s="4690"/>
      <c r="AP53" s="4691"/>
      <c r="AQ53" s="4692"/>
      <c r="AR53" s="4693"/>
      <c r="AS53" s="4694"/>
      <c r="AT53" s="4695"/>
      <c r="AU53" s="4696"/>
      <c r="AV53" s="4697"/>
      <c r="AW53" s="4698"/>
      <c r="AX53" s="4699"/>
      <c r="AY53" s="4700"/>
      <c r="AZ53" s="4701"/>
      <c r="BA53" s="4702"/>
      <c r="BB53" s="4703"/>
      <c r="BC53" s="4704"/>
      <c r="BD53" s="4705"/>
      <c r="BE53" s="4706"/>
      <c r="BF53" s="4707"/>
      <c r="BG53" s="4708"/>
      <c r="BH53" s="4709"/>
      <c r="BI53" s="4710"/>
      <c r="BJ53" s="4711"/>
      <c r="BK53" s="4712"/>
      <c r="BL53" s="4713"/>
      <c r="BM53" s="4714"/>
      <c r="BN53" s="4715"/>
      <c r="BO53" s="4716"/>
      <c r="BP53" s="4717"/>
      <c r="BQ53" s="4718"/>
      <c r="BR53" s="4719"/>
      <c r="BS53" s="4720"/>
      <c r="BT53" s="4721"/>
      <c r="BU53" s="4722"/>
      <c r="BV53" s="4723"/>
      <c r="BW53" s="4724"/>
      <c r="BX53" s="4725"/>
      <c r="BY53" s="4726"/>
      <c r="BZ53" s="15034"/>
      <c r="CA53" s="15035"/>
      <c r="CB53" s="15036"/>
      <c r="CC53" s="15037"/>
      <c r="CD53" s="15038"/>
      <c r="CE53" s="15039"/>
      <c r="CF53" s="15040"/>
      <c r="CG53" s="594"/>
      <c r="CH53" s="1667"/>
      <c r="CJ53" s="727"/>
      <c r="CK53" s="727" t="str">
        <f>IF(T53="","",T53)</f>
        <v>Добавить группу потребителей</v>
      </c>
      <c r="CL53" s="727"/>
      <c r="CM53" s="727"/>
      <c r="CN53" s="1382">
        <v>21</v>
      </c>
    </row>
    <row customHeight="1" ht="22.049999999999997">
      <c r="A54" s="1590" t="s">
        <v>236</v>
      </c>
      <c r="B54" s="1590" t="s">
        <v>237</v>
      </c>
      <c r="C54" s="1590" t="s">
        <v>238</v>
      </c>
      <c r="D54" s="1590" t="s">
        <v>504</v>
      </c>
      <c r="E54" s="2486"/>
      <c r="F54" s="2486"/>
      <c r="G54" s="2486"/>
      <c r="H54" s="2485"/>
      <c r="I54" s="1590"/>
      <c r="J54" s="1590"/>
      <c r="K54" s="1590"/>
      <c r="L54" s="1591"/>
      <c r="M54" s="1592"/>
      <c r="N54" s="1592"/>
      <c r="O54" s="764"/>
      <c r="P54" s="587"/>
      <c r="Q54" s="602"/>
      <c r="R54" s="582"/>
      <c r="S54" s="1505"/>
      <c r="T54" s="599" t="s">
        <v>490</v>
      </c>
      <c r="U54" s="594"/>
      <c r="V54" s="594"/>
      <c r="W54" s="594"/>
      <c r="X54" s="594"/>
      <c r="Y54" s="594"/>
      <c r="Z54" s="594"/>
      <c r="AA54" s="594"/>
      <c r="AB54" s="593"/>
      <c r="AC54" s="594"/>
      <c r="AD54" s="594"/>
      <c r="AE54" s="594"/>
      <c r="AF54" s="594"/>
      <c r="AG54" s="594"/>
      <c r="AH54" s="594"/>
      <c r="AI54" s="593"/>
      <c r="AJ54" s="4727"/>
      <c r="AK54" s="4728"/>
      <c r="AL54" s="4729"/>
      <c r="AM54" s="4730"/>
      <c r="AN54" s="4731"/>
      <c r="AO54" s="4732"/>
      <c r="AP54" s="4733"/>
      <c r="AQ54" s="4734"/>
      <c r="AR54" s="4735"/>
      <c r="AS54" s="4736"/>
      <c r="AT54" s="4737"/>
      <c r="AU54" s="4738"/>
      <c r="AV54" s="4739"/>
      <c r="AW54" s="4740"/>
      <c r="AX54" s="4741"/>
      <c r="AY54" s="4742"/>
      <c r="AZ54" s="4743"/>
      <c r="BA54" s="4744"/>
      <c r="BB54" s="4745"/>
      <c r="BC54" s="4746"/>
      <c r="BD54" s="4747"/>
      <c r="BE54" s="4748"/>
      <c r="BF54" s="4749"/>
      <c r="BG54" s="4750"/>
      <c r="BH54" s="4751"/>
      <c r="BI54" s="4752"/>
      <c r="BJ54" s="4753"/>
      <c r="BK54" s="4754"/>
      <c r="BL54" s="4755"/>
      <c r="BM54" s="4756"/>
      <c r="BN54" s="4757"/>
      <c r="BO54" s="4758"/>
      <c r="BP54" s="4759"/>
      <c r="BQ54" s="4760"/>
      <c r="BR54" s="4761"/>
      <c r="BS54" s="4762"/>
      <c r="BT54" s="4763"/>
      <c r="BU54" s="4764"/>
      <c r="BV54" s="4765"/>
      <c r="BW54" s="4766"/>
      <c r="BX54" s="4767"/>
      <c r="BY54" s="4768"/>
      <c r="BZ54" s="15083"/>
      <c r="CA54" s="15084"/>
      <c r="CB54" s="15085"/>
      <c r="CC54" s="15086"/>
      <c r="CD54" s="15087"/>
      <c r="CE54" s="15088"/>
      <c r="CF54" s="15089"/>
      <c r="CG54" s="594"/>
      <c r="CH54" s="530"/>
      <c r="CJ54" s="727"/>
      <c r="CK54" s="727" t="str">
        <f>IF(T54="","",T54)</f>
        <v>Добавить наименование признака дифференциации</v>
      </c>
      <c r="CL54" s="727"/>
      <c r="CM54" s="727"/>
      <c r="CN54" s="1382">
        <v>21</v>
      </c>
    </row>
    <row s="13222" customFormat="1" customHeight="1" ht="0">
      <c r="A55" s="1570" t="s">
        <v>236</v>
      </c>
      <c r="B55" s="1570" t="s">
        <v>237</v>
      </c>
      <c r="C55" s="1541"/>
      <c r="D55" s="1541"/>
      <c r="E55" s="2486"/>
      <c r="F55" s="2485"/>
      <c r="G55" s="1541"/>
      <c r="H55" s="1541"/>
      <c r="I55" s="1541"/>
      <c r="J55" s="1541"/>
      <c r="K55" s="1541"/>
      <c r="L55" s="1685"/>
      <c r="M55" s="1548"/>
      <c r="N55" s="1548"/>
      <c r="P55" s="1543"/>
      <c r="Q55" s="1544"/>
      <c r="R55" s="1543"/>
      <c r="S55" s="1549"/>
      <c r="T55" s="1552" t="s">
        <v>229</v>
      </c>
      <c r="U55" s="1551"/>
      <c r="V55" s="1551"/>
      <c r="W55" s="1551"/>
      <c r="X55" s="1551"/>
      <c r="Y55" s="1551"/>
      <c r="Z55" s="1551"/>
      <c r="AA55" s="1551"/>
      <c r="AB55" s="1551"/>
      <c r="AC55" s="1551"/>
      <c r="AD55" s="1551"/>
      <c r="AE55" s="1551"/>
      <c r="AF55" s="1551"/>
      <c r="AG55" s="1551"/>
      <c r="AH55" s="1551"/>
      <c r="AI55" s="1551"/>
      <c r="AJ55" s="4192"/>
      <c r="AK55" s="4192"/>
      <c r="AL55" s="4192"/>
      <c r="AM55" s="4192"/>
      <c r="AN55" s="4192"/>
      <c r="AO55" s="4192"/>
      <c r="AP55" s="4192"/>
      <c r="AQ55" s="4192"/>
      <c r="AR55" s="4192"/>
      <c r="AS55" s="4192"/>
      <c r="AT55" s="4192"/>
      <c r="AU55" s="4192"/>
      <c r="AV55" s="4192"/>
      <c r="AW55" s="4192"/>
      <c r="AX55" s="4192"/>
      <c r="AY55" s="4192"/>
      <c r="AZ55" s="4192"/>
      <c r="BA55" s="4192"/>
      <c r="BB55" s="4192"/>
      <c r="BC55" s="4192"/>
      <c r="BD55" s="4192"/>
      <c r="BE55" s="4192"/>
      <c r="BF55" s="4192"/>
      <c r="BG55" s="4192"/>
      <c r="BH55" s="4192"/>
      <c r="BI55" s="4192"/>
      <c r="BJ55" s="4192"/>
      <c r="BK55" s="4192"/>
      <c r="BL55" s="4192"/>
      <c r="BM55" s="4192"/>
      <c r="BN55" s="4192"/>
      <c r="BO55" s="4192"/>
      <c r="BP55" s="4192"/>
      <c r="BQ55" s="4192"/>
      <c r="BR55" s="4192"/>
      <c r="BS55" s="4192"/>
      <c r="BT55" s="4192"/>
      <c r="BU55" s="4192"/>
      <c r="BV55" s="4192"/>
      <c r="BW55" s="4192"/>
      <c r="BX55" s="4192"/>
      <c r="BY55" s="4192"/>
      <c r="BZ55" s="14840"/>
      <c r="CA55" s="14840"/>
      <c r="CB55" s="14840"/>
      <c r="CC55" s="14840"/>
      <c r="CD55" s="14840"/>
      <c r="CE55" s="14840"/>
      <c r="CF55" s="14840"/>
      <c r="CG55" s="1551"/>
      <c r="CH55" s="1551"/>
      <c r="CJ55" s="1016"/>
      <c r="CK55" s="1016" t="str">
        <f>IF(T55="","",T55)</f>
        <v>Добавить централизованную систему для дифференциации</v>
      </c>
      <c r="CL55" s="1016"/>
      <c r="CM55" s="1016"/>
      <c r="CN55" s="745">
        <v>0</v>
      </c>
    </row>
    <row s="13222" customFormat="1" customHeight="1" ht="0">
      <c r="A56" s="1570" t="s">
        <v>236</v>
      </c>
      <c r="B56" s="1570"/>
      <c r="C56" s="1570"/>
      <c r="D56" s="1570"/>
      <c r="E56" s="2485"/>
      <c r="F56" s="1570"/>
      <c r="G56" s="1570"/>
      <c r="H56" s="1570"/>
      <c r="I56" s="1570"/>
      <c r="J56" s="1570"/>
      <c r="K56" s="1570"/>
      <c r="L56" s="1573"/>
      <c r="M56" s="1548"/>
      <c r="N56" s="1548"/>
      <c r="O56" s="745"/>
      <c r="P56" s="607"/>
      <c r="Q56" s="1571"/>
      <c r="R56" s="607"/>
      <c r="S56" s="1549"/>
      <c r="T56" s="1552" t="s">
        <v>230</v>
      </c>
      <c r="U56" s="1551"/>
      <c r="V56" s="1551"/>
      <c r="W56" s="1551"/>
      <c r="X56" s="1551"/>
      <c r="Y56" s="1551"/>
      <c r="Z56" s="1551"/>
      <c r="AA56" s="1551"/>
      <c r="AB56" s="1551"/>
      <c r="AC56" s="1551"/>
      <c r="AD56" s="1551"/>
      <c r="AE56" s="1551"/>
      <c r="AF56" s="1551"/>
      <c r="AG56" s="1551"/>
      <c r="AH56" s="1551"/>
      <c r="AI56" s="1551"/>
      <c r="AJ56" s="4192"/>
      <c r="AK56" s="4192"/>
      <c r="AL56" s="4192"/>
      <c r="AM56" s="4192"/>
      <c r="AN56" s="4192"/>
      <c r="AO56" s="4192"/>
      <c r="AP56" s="4192"/>
      <c r="AQ56" s="4192"/>
      <c r="AR56" s="4192"/>
      <c r="AS56" s="4192"/>
      <c r="AT56" s="4192"/>
      <c r="AU56" s="4192"/>
      <c r="AV56" s="4192"/>
      <c r="AW56" s="4192"/>
      <c r="AX56" s="4192"/>
      <c r="AY56" s="4192"/>
      <c r="AZ56" s="4192"/>
      <c r="BA56" s="4192"/>
      <c r="BB56" s="4192"/>
      <c r="BC56" s="4192"/>
      <c r="BD56" s="4192"/>
      <c r="BE56" s="4192"/>
      <c r="BF56" s="4192"/>
      <c r="BG56" s="4192"/>
      <c r="BH56" s="4192"/>
      <c r="BI56" s="4192"/>
      <c r="BJ56" s="4192"/>
      <c r="BK56" s="4192"/>
      <c r="BL56" s="4192"/>
      <c r="BM56" s="4192"/>
      <c r="BN56" s="4192"/>
      <c r="BO56" s="4192"/>
      <c r="BP56" s="4192"/>
      <c r="BQ56" s="4192"/>
      <c r="BR56" s="4192"/>
      <c r="BS56" s="4192"/>
      <c r="BT56" s="4192"/>
      <c r="BU56" s="4192"/>
      <c r="BV56" s="4192"/>
      <c r="BW56" s="4192"/>
      <c r="BX56" s="4192"/>
      <c r="BY56" s="4192"/>
      <c r="BZ56" s="14840"/>
      <c r="CA56" s="14840"/>
      <c r="CB56" s="14840"/>
      <c r="CC56" s="14840"/>
      <c r="CD56" s="14840"/>
      <c r="CE56" s="14840"/>
      <c r="CF56" s="14840"/>
      <c r="CG56" s="1551"/>
      <c r="CH56" s="1551"/>
      <c r="CJ56" s="727"/>
      <c r="CK56" s="727" t="str">
        <f>IF(T56="","",T56)</f>
        <v>Добавить территорию для дифференциации</v>
      </c>
      <c r="CL56" s="727"/>
      <c r="CM56" s="727"/>
      <c r="CN56" s="738">
        <v>0</v>
      </c>
    </row>
    <row s="13222" customFormat="1" customHeight="1" ht="0">
      <c r="A57" s="1541"/>
      <c r="B57" s="1541"/>
      <c r="C57" s="1541"/>
      <c r="D57" s="1541"/>
      <c r="E57" s="1570"/>
      <c r="F57" s="1541"/>
      <c r="G57" s="1541"/>
      <c r="H57" s="1541"/>
      <c r="I57" s="1541"/>
      <c r="J57" s="1541"/>
      <c r="K57" s="1541"/>
      <c r="L57" s="1685"/>
      <c r="M57" s="1548"/>
      <c r="N57" s="1548"/>
      <c r="P57" s="1543"/>
      <c r="Q57" s="1544"/>
      <c r="R57" s="1543"/>
      <c r="S57" s="1549"/>
      <c r="T57" s="1552" t="s">
        <v>231</v>
      </c>
      <c r="U57" s="1551"/>
      <c r="V57" s="1551"/>
      <c r="W57" s="1551"/>
      <c r="X57" s="1551"/>
      <c r="Y57" s="1551"/>
      <c r="Z57" s="1551"/>
      <c r="AA57" s="1551"/>
      <c r="AB57" s="1551"/>
      <c r="AC57" s="1551"/>
      <c r="AD57" s="1551"/>
      <c r="AE57" s="1551"/>
      <c r="AF57" s="1551"/>
      <c r="AG57" s="1551"/>
      <c r="AH57" s="1551"/>
      <c r="AI57" s="1551"/>
      <c r="AJ57" s="4192"/>
      <c r="AK57" s="4192"/>
      <c r="AL57" s="4192"/>
      <c r="AM57" s="4192"/>
      <c r="AN57" s="4192"/>
      <c r="AO57" s="4192"/>
      <c r="AP57" s="4192"/>
      <c r="AQ57" s="4192"/>
      <c r="AR57" s="4192"/>
      <c r="AS57" s="4192"/>
      <c r="AT57" s="4192"/>
      <c r="AU57" s="4192"/>
      <c r="AV57" s="4192"/>
      <c r="AW57" s="4192"/>
      <c r="AX57" s="4192"/>
      <c r="AY57" s="4192"/>
      <c r="AZ57" s="4192"/>
      <c r="BA57" s="4192"/>
      <c r="BB57" s="4192"/>
      <c r="BC57" s="4192"/>
      <c r="BD57" s="4192"/>
      <c r="BE57" s="4192"/>
      <c r="BF57" s="4192"/>
      <c r="BG57" s="4192"/>
      <c r="BH57" s="4192"/>
      <c r="BI57" s="4192"/>
      <c r="BJ57" s="4192"/>
      <c r="BK57" s="4192"/>
      <c r="BL57" s="4192"/>
      <c r="BM57" s="4192"/>
      <c r="BN57" s="4192"/>
      <c r="BO57" s="4192"/>
      <c r="BP57" s="4192"/>
      <c r="BQ57" s="4192"/>
      <c r="BR57" s="4192"/>
      <c r="BS57" s="4192"/>
      <c r="BT57" s="4192"/>
      <c r="BU57" s="4192"/>
      <c r="BV57" s="4192"/>
      <c r="BW57" s="4192"/>
      <c r="BX57" s="4192"/>
      <c r="BY57" s="4192"/>
      <c r="BZ57" s="14840"/>
      <c r="CA57" s="14840"/>
      <c r="CB57" s="14840"/>
      <c r="CC57" s="14840"/>
      <c r="CD57" s="14840"/>
      <c r="CE57" s="14840"/>
      <c r="CF57" s="14840"/>
      <c r="CG57" s="1551"/>
      <c r="CH57" s="1551"/>
      <c r="CJ57" s="1016"/>
      <c r="CK57" s="1016" t="str">
        <f>IF(T57="","",T57)</f>
        <v>Добавить наименование тарифа</v>
      </c>
      <c r="CL57" s="1016"/>
      <c r="CM57" s="1016"/>
      <c r="CN57" s="745">
        <v>0</v>
      </c>
    </row>
    <row customHeight="1" ht="11.549999999999999">
      <c r="M58" s="1387"/>
      <c r="N58" s="1387"/>
      <c r="O58" s="764"/>
      <c r="P58" s="1382"/>
      <c r="Q58" s="1382"/>
      <c r="R58" s="1382"/>
      <c r="S58" s="1382"/>
      <c r="AJ58" s="4032"/>
      <c r="AK58" s="4032"/>
      <c r="AL58" s="4032"/>
      <c r="AM58" s="4032"/>
      <c r="AN58" s="4032"/>
      <c r="AO58" s="4032"/>
      <c r="AP58" s="4032"/>
      <c r="AQ58" s="4032"/>
      <c r="AR58" s="4032"/>
      <c r="AS58" s="4032"/>
      <c r="AT58" s="4032"/>
      <c r="AU58" s="4032"/>
      <c r="AV58" s="4032"/>
      <c r="AW58" s="4032"/>
      <c r="AX58" s="4032"/>
      <c r="AY58" s="4032"/>
      <c r="AZ58" s="4032"/>
      <c r="BA58" s="4032"/>
      <c r="BB58" s="4032"/>
      <c r="BC58" s="4032"/>
      <c r="BD58" s="4032"/>
      <c r="BE58" s="4032"/>
      <c r="BF58" s="4032"/>
      <c r="BG58" s="4032"/>
      <c r="BH58" s="4032"/>
      <c r="BI58" s="4032"/>
      <c r="BJ58" s="4032"/>
      <c r="BK58" s="4032"/>
      <c r="BL58" s="4032"/>
      <c r="BM58" s="4032"/>
      <c r="BN58" s="4032"/>
      <c r="BO58" s="4032"/>
      <c r="BP58" s="4032"/>
      <c r="BQ58" s="4032"/>
      <c r="BR58" s="4032"/>
      <c r="BS58" s="4032"/>
      <c r="BT58" s="4032"/>
      <c r="BU58" s="4032"/>
      <c r="BV58" s="4032"/>
      <c r="BW58" s="4032"/>
      <c r="BX58" s="4032"/>
      <c r="BY58" s="4032"/>
      <c r="BZ58" s="14671"/>
      <c r="CA58" s="14671"/>
      <c r="CB58" s="14671"/>
      <c r="CC58" s="14671"/>
      <c r="CD58" s="14671"/>
      <c r="CE58" s="14671"/>
      <c r="CF58" s="14671"/>
      <c r="CI58" s="1382"/>
      <c r="CJ58" s="1382"/>
      <c r="CK58" s="1382"/>
      <c r="CL58" s="1382"/>
      <c r="CM58" s="1382"/>
      <c r="CN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4441"/>
      <c r="AK59" s="4441"/>
      <c r="AL59" s="4441"/>
      <c r="AM59" s="4441"/>
      <c r="AN59" s="4441"/>
      <c r="AO59" s="4441"/>
      <c r="AP59" s="4441"/>
      <c r="AQ59" s="4441"/>
      <c r="AR59" s="4441"/>
      <c r="AS59" s="4441"/>
      <c r="AT59" s="4441"/>
      <c r="AU59" s="4441"/>
      <c r="AV59" s="4441"/>
      <c r="AW59" s="4441"/>
      <c r="AX59" s="4441"/>
      <c r="AY59" s="4441"/>
      <c r="AZ59" s="4441"/>
      <c r="BA59" s="4441"/>
      <c r="BB59" s="4441"/>
      <c r="BC59" s="4441"/>
      <c r="BD59" s="4441"/>
      <c r="BE59" s="4441"/>
      <c r="BF59" s="4441"/>
      <c r="BG59" s="4441"/>
      <c r="BH59" s="4441"/>
      <c r="BI59" s="4441"/>
      <c r="BJ59" s="4441"/>
      <c r="BK59" s="4441"/>
      <c r="BL59" s="4441"/>
      <c r="BM59" s="4441"/>
      <c r="BN59" s="4441"/>
      <c r="BO59" s="4441"/>
      <c r="BP59" s="4441"/>
      <c r="BQ59" s="4441"/>
      <c r="BR59" s="4441"/>
      <c r="BS59" s="4441"/>
      <c r="BT59" s="4441"/>
      <c r="BU59" s="4441"/>
      <c r="BV59" s="4441"/>
      <c r="BW59" s="4441"/>
      <c r="BX59" s="4441"/>
      <c r="BY59" s="4441"/>
      <c r="BZ59" s="15090"/>
      <c r="CA59" s="15090"/>
      <c r="CB59" s="15090"/>
      <c r="CC59" s="15090"/>
      <c r="CD59" s="15090"/>
      <c r="CE59" s="15090"/>
      <c r="CF59" s="15090"/>
      <c r="CG59" s="2512"/>
      <c r="CH59" s="2512"/>
      <c r="CN59" s="1382">
        <v>14</v>
      </c>
    </row>
    <row customHeight="1" ht="14.699999999999998">
      <c r="O60" s="764"/>
      <c r="AJ60" s="4032"/>
      <c r="AK60" s="4032"/>
      <c r="AL60" s="4032"/>
      <c r="AM60" s="4032"/>
      <c r="AN60" s="4032"/>
      <c r="AO60" s="4032"/>
      <c r="AP60" s="4032"/>
      <c r="AQ60" s="4032"/>
      <c r="AR60" s="4032"/>
      <c r="AS60" s="4032"/>
      <c r="AT60" s="4032"/>
      <c r="AU60" s="4032"/>
      <c r="AV60" s="4032"/>
      <c r="AW60" s="4032"/>
      <c r="AX60" s="4032"/>
      <c r="AY60" s="4032"/>
      <c r="AZ60" s="4032"/>
      <c r="BA60" s="4032"/>
      <c r="BB60" s="4032"/>
      <c r="BC60" s="4032"/>
      <c r="BD60" s="4032"/>
      <c r="BE60" s="4032"/>
      <c r="BF60" s="4032"/>
      <c r="BG60" s="4032"/>
      <c r="BH60" s="4032"/>
      <c r="BI60" s="4032"/>
      <c r="BJ60" s="4032"/>
      <c r="BK60" s="4032"/>
      <c r="BL60" s="4032"/>
      <c r="BM60" s="4032"/>
      <c r="BN60" s="4032"/>
      <c r="BO60" s="4032"/>
      <c r="BP60" s="4032"/>
      <c r="BQ60" s="4032"/>
      <c r="BR60" s="4032"/>
      <c r="BS60" s="4032"/>
      <c r="BT60" s="4032"/>
      <c r="BU60" s="4032"/>
      <c r="BV60" s="4032"/>
      <c r="BW60" s="4032"/>
      <c r="BX60" s="4032"/>
      <c r="BY60" s="4032"/>
      <c r="BZ60" s="14671"/>
      <c r="CA60" s="14671"/>
      <c r="CB60" s="14671"/>
      <c r="CC60" s="14671"/>
      <c r="CD60" s="14671"/>
      <c r="CE60" s="14671"/>
      <c r="CF60" s="14671"/>
      <c r="CN60" s="1382">
        <v>14</v>
      </c>
    </row>
    <row customHeight="1" ht="14.699999999999998">
      <c r="O61" s="764"/>
      <c r="S61" s="1480"/>
      <c r="T61" s="2512"/>
      <c r="U61" s="2512"/>
      <c r="V61" s="2512"/>
      <c r="W61" s="2512"/>
      <c r="X61" s="2512"/>
      <c r="Y61" s="2512"/>
      <c r="Z61" s="2512"/>
      <c r="AA61" s="2512"/>
      <c r="AB61" s="2512"/>
      <c r="AC61" s="2512"/>
      <c r="AD61" s="2512"/>
      <c r="AE61" s="2512"/>
      <c r="AF61" s="2512"/>
      <c r="AG61" s="2512"/>
      <c r="AH61" s="2512"/>
      <c r="AI61" s="2512"/>
      <c r="AJ61" s="4441"/>
      <c r="AK61" s="4441"/>
      <c r="AL61" s="4441"/>
      <c r="AM61" s="4441"/>
      <c r="AN61" s="4441"/>
      <c r="AO61" s="4441"/>
      <c r="AP61" s="4441"/>
      <c r="AQ61" s="4441"/>
      <c r="AR61" s="4441"/>
      <c r="AS61" s="4441"/>
      <c r="AT61" s="4441"/>
      <c r="AU61" s="4441"/>
      <c r="AV61" s="4441"/>
      <c r="AW61" s="4441"/>
      <c r="AX61" s="4441"/>
      <c r="AY61" s="4441"/>
      <c r="AZ61" s="4441"/>
      <c r="BA61" s="4441"/>
      <c r="BB61" s="4441"/>
      <c r="BC61" s="4441"/>
      <c r="BD61" s="4441"/>
      <c r="BE61" s="4441"/>
      <c r="BF61" s="4441"/>
      <c r="BG61" s="4441"/>
      <c r="BH61" s="4441"/>
      <c r="BI61" s="4441"/>
      <c r="BJ61" s="4441"/>
      <c r="BK61" s="4441"/>
      <c r="BL61" s="4441"/>
      <c r="BM61" s="4441"/>
      <c r="BN61" s="4441"/>
      <c r="BO61" s="4441"/>
      <c r="BP61" s="4441"/>
      <c r="BQ61" s="4441"/>
      <c r="BR61" s="4441"/>
      <c r="BS61" s="4441"/>
      <c r="BT61" s="4441"/>
      <c r="BU61" s="4441"/>
      <c r="BV61" s="4441"/>
      <c r="BW61" s="4441"/>
      <c r="BX61" s="4441"/>
      <c r="BY61" s="4441"/>
      <c r="BZ61" s="15090"/>
      <c r="CA61" s="15090"/>
      <c r="CB61" s="15090"/>
      <c r="CC61" s="15090"/>
      <c r="CD61" s="15090"/>
      <c r="CE61" s="15090"/>
      <c r="CF61" s="15090"/>
      <c r="CG61" s="2512"/>
      <c r="CH61" s="2512"/>
      <c r="CN61" s="1382">
        <v>14</v>
      </c>
    </row>
    <row customHeight="1" ht="22.5" hidden="1">
      <c r="A62" s="1387" t="s">
        <v>82</v>
      </c>
      <c r="B62" s="1387">
        <v>0</v>
      </c>
      <c r="C62" s="1387">
        <v>0</v>
      </c>
      <c r="D62" s="1387">
        <v>0</v>
      </c>
      <c r="E62" s="1387">
        <v>0</v>
      </c>
      <c r="F62" s="1387">
        <v>0</v>
      </c>
      <c r="G62" s="1387">
        <v>0</v>
      </c>
      <c r="H62" s="1387">
        <v>0</v>
      </c>
      <c r="I62" s="1387">
        <v>0</v>
      </c>
      <c r="J62" s="1387">
        <v>0</v>
      </c>
      <c r="K62" s="1387">
        <v>0</v>
      </c>
      <c r="L62" s="1674">
        <v>0</v>
      </c>
      <c r="M62" s="1589">
        <v>0</v>
      </c>
      <c r="N62" s="1589">
        <v>0</v>
      </c>
      <c r="O62" s="1589">
        <v>0</v>
      </c>
      <c r="P62" s="1673">
        <v>3</v>
      </c>
      <c r="Q62" s="571">
        <v>3</v>
      </c>
      <c r="R62" s="571">
        <v>3</v>
      </c>
      <c r="S62" s="808">
        <v>12</v>
      </c>
      <c r="T62" s="1382">
        <v>35</v>
      </c>
      <c r="U62" s="1382">
        <v>0</v>
      </c>
      <c r="V62" s="1382">
        <v>0</v>
      </c>
      <c r="W62" s="1382">
        <v>0</v>
      </c>
      <c r="X62" s="1382">
        <v>0</v>
      </c>
      <c r="Y62" s="1382">
        <v>0</v>
      </c>
      <c r="Z62" s="1382">
        <v>0</v>
      </c>
      <c r="AA62" s="1382">
        <v>0</v>
      </c>
      <c r="AB62" s="1382">
        <v>0</v>
      </c>
      <c r="AC62" s="1382">
        <v>24</v>
      </c>
      <c r="AD62" s="1382">
        <v>24</v>
      </c>
      <c r="AE62" s="1382">
        <v>24</v>
      </c>
      <c r="AF62" s="1382">
        <v>11</v>
      </c>
      <c r="AG62" s="1382">
        <v>3</v>
      </c>
      <c r="AH62" s="1382">
        <v>11</v>
      </c>
      <c r="AI62" s="1382">
        <v>0</v>
      </c>
      <c r="AJ62" s="4032">
        <v>0</v>
      </c>
      <c r="AK62" s="4032">
        <v>0</v>
      </c>
      <c r="AL62" s="4032">
        <v>0</v>
      </c>
      <c r="AM62" s="4032">
        <v>0</v>
      </c>
      <c r="AN62" s="4032">
        <v>0</v>
      </c>
      <c r="AO62" s="4032">
        <v>0</v>
      </c>
      <c r="AP62" s="4032">
        <v>0</v>
      </c>
      <c r="AQ62" s="4032">
        <v>0</v>
      </c>
      <c r="AR62" s="4032">
        <v>0</v>
      </c>
      <c r="AS62" s="4032">
        <v>0</v>
      </c>
      <c r="AT62" s="4032">
        <v>0</v>
      </c>
      <c r="AU62" s="4032">
        <v>0</v>
      </c>
      <c r="AV62" s="4032">
        <v>0</v>
      </c>
      <c r="AW62" s="4032">
        <v>0</v>
      </c>
      <c r="AX62" s="4032">
        <v>0</v>
      </c>
      <c r="AY62" s="4032">
        <v>0</v>
      </c>
      <c r="AZ62" s="4032">
        <v>0</v>
      </c>
      <c r="BA62" s="4032">
        <v>0</v>
      </c>
      <c r="BB62" s="4032">
        <v>0</v>
      </c>
      <c r="BC62" s="4032">
        <v>0</v>
      </c>
      <c r="BD62" s="4032">
        <v>0</v>
      </c>
      <c r="BE62" s="4032">
        <v>0</v>
      </c>
      <c r="BF62" s="4032">
        <v>0</v>
      </c>
      <c r="BG62" s="4032">
        <v>0</v>
      </c>
      <c r="BH62" s="4032">
        <v>0</v>
      </c>
      <c r="BI62" s="4032">
        <v>0</v>
      </c>
      <c r="BJ62" s="4032">
        <v>0</v>
      </c>
      <c r="BK62" s="4032">
        <v>0</v>
      </c>
      <c r="BL62" s="4032">
        <v>0</v>
      </c>
      <c r="BM62" s="4032">
        <v>0</v>
      </c>
      <c r="BN62" s="4032">
        <v>0</v>
      </c>
      <c r="BO62" s="4032">
        <v>0</v>
      </c>
      <c r="BP62" s="4032">
        <v>0</v>
      </c>
      <c r="BQ62" s="4032">
        <v>0</v>
      </c>
      <c r="BR62" s="4032">
        <v>0</v>
      </c>
      <c r="BS62" s="4032">
        <v>0</v>
      </c>
      <c r="BT62" s="4032">
        <v>0</v>
      </c>
      <c r="BU62" s="4032">
        <v>0</v>
      </c>
      <c r="BV62" s="4032">
        <v>0</v>
      </c>
      <c r="BW62" s="4032">
        <v>0</v>
      </c>
      <c r="BX62" s="4032">
        <v>0</v>
      </c>
      <c r="BY62" s="4032">
        <v>0</v>
      </c>
      <c r="BZ62" s="14671">
        <v>0</v>
      </c>
      <c r="CA62" s="14671">
        <v>0</v>
      </c>
      <c r="CB62" s="14671">
        <v>0</v>
      </c>
      <c r="CC62" s="14671">
        <v>0</v>
      </c>
      <c r="CD62" s="14671">
        <v>0</v>
      </c>
      <c r="CE62" s="14671">
        <v>0</v>
      </c>
      <c r="CF62" s="14671">
        <v>0</v>
      </c>
      <c r="CG62" s="1382">
        <v>4</v>
      </c>
      <c r="CH62" s="1382">
        <v>115</v>
      </c>
      <c r="CI62" s="738">
        <v>10</v>
      </c>
      <c r="CJ62" s="738">
        <v>10</v>
      </c>
      <c r="CK62" s="738">
        <v>10</v>
      </c>
      <c r="CL62" s="738">
        <v>10</v>
      </c>
      <c r="CM62" s="738">
        <v>10</v>
      </c>
      <c r="CN62" s="1382">
        <v>23</v>
      </c>
    </row>
  </sheetData>
  <sheetProtection formatColumns="0" formatRows="0" autoFilter="0" sort="0" insertRows="0" insertColumns="1" deleteRows="0" deleteColumns="0"/>
  <mergeCells count="290">
    <mergeCell ref="E41:E56"/>
    <mergeCell ref="V41:AB41"/>
    <mergeCell ref="AC41:CG41"/>
    <mergeCell ref="F42:F55"/>
    <mergeCell ref="V42:AB42"/>
    <mergeCell ref="AC42:CG42"/>
    <mergeCell ref="G43:G54"/>
    <mergeCell ref="V43:AB43"/>
    <mergeCell ref="AC43:CG43"/>
    <mergeCell ref="H44:H54"/>
    <mergeCell ref="I44:I53"/>
    <mergeCell ref="P44:P53"/>
    <mergeCell ref="V44:AB44"/>
    <mergeCell ref="AC44:CG44"/>
    <mergeCell ref="J45:J48"/>
    <mergeCell ref="Q45:Q48"/>
    <mergeCell ref="V45:AB45"/>
    <mergeCell ref="K46:K47"/>
    <mergeCell ref="Y46:Y47"/>
    <mergeCell ref="E2:E13"/>
    <mergeCell ref="V2:AB2"/>
    <mergeCell ref="AC2:CG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H7:CH8"/>
    <mergeCell ref="AF15:AF16"/>
    <mergeCell ref="AG15:AG16"/>
    <mergeCell ref="AH15:AH16"/>
    <mergeCell ref="AI15:AI16"/>
    <mergeCell ref="Z46:Z47"/>
    <mergeCell ref="AC45:CG45"/>
    <mergeCell ref="AA46:AA47"/>
    <mergeCell ref="AB46:AB47"/>
    <mergeCell ref="AF46:AF47"/>
    <mergeCell ref="CH46:CH47"/>
    <mergeCell ref="S29:T29"/>
    <mergeCell ref="F3:F12"/>
    <mergeCell ref="V3:AB3"/>
    <mergeCell ref="AC3:CG3"/>
    <mergeCell ref="G4:G11"/>
    <mergeCell ref="V4:AB4"/>
    <mergeCell ref="AC4:CG4"/>
    <mergeCell ref="H5:H11"/>
    <mergeCell ref="I5:I10"/>
    <mergeCell ref="P5:P10"/>
    <mergeCell ref="V5:AB5"/>
    <mergeCell ref="AC5:CG5"/>
    <mergeCell ref="J6:J9"/>
    <mergeCell ref="Q6:Q9"/>
    <mergeCell ref="K7:K8"/>
    <mergeCell ref="Y7:Y8"/>
    <mergeCell ref="V6:AB6"/>
    <mergeCell ref="AC6:CG6"/>
    <mergeCell ref="AC28:AH28"/>
    <mergeCell ref="Z7:Z8"/>
    <mergeCell ref="AA7:AA8"/>
    <mergeCell ref="AB7:AB8"/>
    <mergeCell ref="AF7:AF8"/>
    <mergeCell ref="T59:CH59"/>
    <mergeCell ref="T61:CH61"/>
    <mergeCell ref="V35:AB35"/>
    <mergeCell ref="S32:T32"/>
    <mergeCell ref="V32:AA32"/>
    <mergeCell ref="AC32:AH32"/>
    <mergeCell ref="S33:T33"/>
    <mergeCell ref="V33:AA33"/>
    <mergeCell ref="AC33:AH33"/>
    <mergeCell ref="AC35:AI35"/>
    <mergeCell ref="Z40:AA40"/>
    <mergeCell ref="AG40:AH40"/>
    <mergeCell ref="S36:CG36"/>
    <mergeCell ref="CH36:CH39"/>
    <mergeCell ref="S37:S39"/>
    <mergeCell ref="T37:T39"/>
    <mergeCell ref="V37:AA37"/>
    <mergeCell ref="AB37:AB39"/>
    <mergeCell ref="AG46:AG47"/>
    <mergeCell ref="AH46:AH47"/>
    <mergeCell ref="AI46:AI47"/>
    <mergeCell ref="CG37:CG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AI50:AI51"/>
    <mergeCell ref="AG50:AG51"/>
    <mergeCell ref="AH50:AH51"/>
    <mergeCell ref="CH50:CH51"/>
    <mergeCell ref="J49:J52"/>
    <mergeCell ref="Q49:Q52"/>
    <mergeCell ref="K50:K51"/>
    <mergeCell ref="Y50:Y51"/>
    <mergeCell ref="V49:AB49"/>
    <mergeCell ref="AC49:CG49"/>
    <mergeCell ref="Z50:Z51"/>
    <mergeCell ref="AA50:AA51"/>
    <mergeCell ref="AB50:AB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s>
  <dataValidations count="8">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U46 AW46 BB46 BD46 BI46 BK46 BP46 BR46 BW46 BY46 CD46 CF46 AI524334:CF524334 AI196654:CF196654 AI589870:CF589870 AI655406:CF655406 AI15 AI720942:CF720942 AI786478:CF786478 AI852014:CF852014 AI917550:CF917550 AI983086:CF983086 AI65582:CF65582 AI131118:CF131118 AI458798:CF458798 AI262190:CF262190 AG46 AI7 AN7 AP7 AU7 AW7 BB7 BD7 BI7 BK7 BP7 BR7 BW7 BY7 CD7 CF7 Z46 AB46 AG15 AG7 Z7 AB7 AI327726:CF327726 AI393262:CF393262 Z50 AB50 AG50 AI50 AN50 AP50 AU50 AW50 BB50 BD50 BI50 BK50 BP50 BR50 BW50 BY50 CD50 CF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AM7 AO7 AM46 AO46 AT7 AV7 AT46 AV46 BA7 BC7 BA46 BC46 BH7 BJ7 BH46 BJ46 BO7 BQ7 BO46 BQ46 BV7 BX7 BV46 BX46 Y50 AA50 AF50 AH50 AM50 AO50 AT50 AV50 BA50 BC50 BH50 BJ50 BO50 BQ50 BV50 BX50 CC7 CE7 CC46 CE46 CC50 CE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H65576:CH65583 CH131112:CH131119 CH196648:CH196655 CH262184:CH262191 CH327720:CH327727 CH393256:CH393263 CH458792:CH458799 CH524328:CH524335 CH589864:CH589871 CH655400:CH655407 CH720936:CH720943 CH786472:CH786479 CH852008:CH852015 CH917544:CH917551 CH983080:CH983087 T46 T7 AC44:AI44 CG44 AC5:AI5 CG5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AL8 AL47 AS8 AS47 AZ8 AZ47 BG8 BG47 BN8 BN47 BU8 BU47 X51 AE51 AL51 AS51 AZ51 BG51 BN51 BU51 CB8 CB47 CB51"/>
    <dataValidation type="list" allowBlank="1" showInputMessage="1" errorTitle="Ошибка" error="Выберите значение из списка" prompt="Выберите значение из списка" sqref="V983085:CG983085 V65581:CG65581 V131117:CG131117 V196653:CG196653 V262189:CG262189 V327725:CG327725 V393261:CG393261 V458797:CG458797 V524333:CG524333 V589869:CG589869 V655405:CG655405 V720941:CG720941 V786477:CG786477 V852013:CG852013 V917549:CG917549">
      <formula1>kind_of_cons</formula1>
    </dataValidation>
    <dataValidation allowBlank="1" sqref="S131120:CH131126 S196656:CH196662 S262192:CH262198 S327728:CH327734 S393264:CH393270 S458800:CH458806 S524336:CH524342 S589872:CH589878 S655408:CH655414 S720944:CH720950 S786480:CH786486 S852016:CH852022 S917552:CH917558 S983088:CH983094 S65584:CH6559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27E2F-5C53-1543-466D-2C0BDB8ED2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4.140625" hidden="1" customWidth="1"/>
    <col min="10" max="10" style="13221" width="9.8515625" hidden="1" customWidth="1"/>
    <col min="11" max="11" style="13221" width="14.7109375" hidden="1" customWidth="1"/>
    <col min="12" max="12" style="14071" width="19.140625" hidden="1" customWidth="1"/>
    <col min="13" max="14" style="14072" width="12.28125" hidden="1" customWidth="1"/>
    <col min="15" max="15" style="14072" width="23.421875" hidden="1" customWidth="1"/>
    <col min="16" max="16" style="14073" width="3.00390625" customWidth="1"/>
    <col min="17" max="18" style="14074" width="3.00390625" customWidth="1"/>
    <col min="19" max="19" style="14075" width="12.00390625" customWidth="1"/>
    <col min="20" max="20" style="13141" width="35.00390625" customWidth="1"/>
    <col min="21" max="21" style="13141" width="0.140625" customWidth="1"/>
    <col min="22" max="24" style="13141" width="24.7109375" hidden="1" customWidth="1"/>
    <col min="25" max="25" style="13141" width="11.7109375" hidden="1" customWidth="1"/>
    <col min="26" max="26" style="13141" width="3.7109375" hidden="1" customWidth="1"/>
    <col min="27" max="27" style="13141" width="11.7109375" hidden="1" customWidth="1"/>
    <col min="28" max="28" style="13141" width="8.57421875" hidden="1" customWidth="1"/>
    <col min="29" max="29" style="13141" width="24.7109375" customWidth="1"/>
    <col min="30" max="31" style="13141" width="24.00390625" customWidth="1"/>
    <col min="32" max="32" style="13141" width="11.00390625" customWidth="1"/>
    <col min="33" max="33" style="13141" width="3.7109375" customWidth="1"/>
    <col min="34" max="34" style="13141" width="11.00390625" customWidth="1"/>
    <col min="35" max="35" style="13141" width="8.57421875" hidden="1" customWidth="1"/>
    <col min="36" max="36" style="13141" width="4.00390625" customWidth="1"/>
    <col min="37" max="37" style="13141" width="115.00390625" customWidth="1"/>
    <col min="38" max="42" style="13222" width="10.00390625" customWidth="1"/>
    <col min="43" max="43" style="1314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322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229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32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3221"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3221" customFormat="1" customHeight="1" ht="14.25" hidden="1">
      <c r="L19" s="1674"/>
      <c r="M19" s="1589"/>
      <c r="N19" s="1589"/>
      <c r="O19" s="1589"/>
      <c r="P19" s="1589"/>
      <c r="Q19" s="1598"/>
      <c r="R19" s="1598"/>
      <c r="S19" s="956"/>
      <c r="AB19" s="1593"/>
      <c r="AI19" s="1593"/>
      <c r="AL19" s="738"/>
      <c r="AM19" s="738"/>
      <c r="AN19" s="738"/>
      <c r="AO19" s="738"/>
      <c r="AP19" s="738"/>
      <c r="AQ19" s="1387">
        <v>0</v>
      </c>
    </row>
    <row s="13221"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"Уссурийск-Водоканал"</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34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3348"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553"/>
      <c r="AK28" s="507"/>
      <c r="AL28" s="595"/>
      <c r="AM28" s="595"/>
      <c r="AN28" s="595"/>
      <c r="AO28" s="595"/>
      <c r="AP28" s="595"/>
      <c r="AQ28" s="645">
        <v>0</v>
      </c>
    </row>
    <row s="13348"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27-2085</v>
      </c>
      <c r="W29" s="2478"/>
      <c r="X29" s="2478"/>
      <c r="Y29" s="2478"/>
      <c r="Z29" s="2478"/>
      <c r="AA29" s="2478"/>
      <c r="AB29" s="553"/>
      <c r="AC29" s="2478" t="str">
        <f>IF(TITLE_NUMBER_PR_CHANGE="",IF(TITLE_NUMBER_PR="","",TITLE_NUMBER_PR),TITLE_NUMBER_PR_CHANGE)</f>
        <v>27-2085</v>
      </c>
      <c r="AD29" s="2478"/>
      <c r="AE29" s="2478"/>
      <c r="AF29" s="2478"/>
      <c r="AG29" s="2478"/>
      <c r="AH29" s="2478"/>
      <c r="AI29" s="553"/>
      <c r="AJ29" s="553"/>
      <c r="AK29" s="507"/>
      <c r="AL29" s="595"/>
      <c r="AM29" s="595"/>
      <c r="AN29" s="595"/>
      <c r="AO29" s="595"/>
      <c r="AP29" s="595"/>
      <c r="AQ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348"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553"/>
      <c r="AK32" s="507"/>
      <c r="AL32" s="595"/>
      <c r="AM32" s="595"/>
      <c r="AN32" s="595"/>
      <c r="AO32" s="595"/>
      <c r="AP32" s="595"/>
      <c r="AQ32" s="645">
        <v>0</v>
      </c>
    </row>
    <row s="13348"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27-2085</v>
      </c>
      <c r="W33" s="2478"/>
      <c r="X33" s="2478"/>
      <c r="Y33" s="2478"/>
      <c r="Z33" s="2478"/>
      <c r="AA33" s="2478"/>
      <c r="AB33" s="553"/>
      <c r="AC33" s="2478" t="str">
        <f>IF(TITLE_NUMBER_PR_CHANGE="",IF(TITLE_NUMBER_PR="","",TITLE_NUMBER_PR),TITLE_NUMBER_PR_CHANGE)</f>
        <v>27-2085</v>
      </c>
      <c r="AD33" s="2478"/>
      <c r="AE33" s="2478"/>
      <c r="AF33" s="2478"/>
      <c r="AG33" s="2478"/>
      <c r="AH33" s="2478"/>
      <c r="AI33" s="553"/>
      <c r="AJ33" s="553"/>
      <c r="AK33" s="507"/>
      <c r="AL33" s="595"/>
      <c r="AM33" s="595"/>
      <c r="AN33" s="595"/>
      <c r="AO33" s="595"/>
      <c r="AP33" s="595"/>
      <c r="AQ33" s="645">
        <v>0</v>
      </c>
    </row>
    <row s="1334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492</v>
      </c>
      <c r="W38" s="2489" t="s">
        <v>438</v>
      </c>
      <c r="X38" s="2490"/>
      <c r="Y38" s="2489" t="s">
        <v>439</v>
      </c>
      <c r="Z38" s="2496"/>
      <c r="AA38" s="2490"/>
      <c r="AB38" s="2505"/>
      <c r="AC38" s="1679" t="s">
        <v>492</v>
      </c>
      <c r="AD38" s="2489" t="s">
        <v>438</v>
      </c>
      <c r="AE38" s="2490"/>
      <c r="AF38" s="2489" t="s">
        <v>439</v>
      </c>
      <c r="AG38" s="2496"/>
      <c r="AH38" s="2490"/>
      <c r="AI38" s="2505"/>
      <c r="AJ38" s="2508"/>
      <c r="AK38" s="2354"/>
      <c r="AQ38" s="1382">
        <v>34</v>
      </c>
    </row>
    <row customHeight="1" ht="35.699999999999996">
      <c r="A39" s="1597"/>
      <c r="B39" s="1597" t="s">
        <v>135</v>
      </c>
      <c r="C39" s="1597" t="s">
        <v>136</v>
      </c>
      <c r="D39" s="1597" t="s">
        <v>137</v>
      </c>
      <c r="E39" s="1591" t="s">
        <v>440</v>
      </c>
      <c r="F39" s="1591" t="s">
        <v>441</v>
      </c>
      <c r="G39" s="1591" t="s">
        <v>442</v>
      </c>
      <c r="H39" s="1591"/>
      <c r="I39" s="1591" t="s">
        <v>493</v>
      </c>
      <c r="J39" s="1591" t="s">
        <v>445</v>
      </c>
      <c r="K39" s="1591" t="s">
        <v>494</v>
      </c>
      <c r="L39" s="1591" t="s">
        <v>421</v>
      </c>
      <c r="Q39" s="603"/>
      <c r="R39" s="603"/>
      <c r="S39" s="2500"/>
      <c r="T39" s="2436"/>
      <c r="U39" s="529"/>
      <c r="V39" s="1679" t="s">
        <v>495</v>
      </c>
      <c r="W39" s="1449" t="s">
        <v>496</v>
      </c>
      <c r="X39" s="1449" t="s">
        <v>497</v>
      </c>
      <c r="Y39" s="1682" t="s">
        <v>449</v>
      </c>
      <c r="Z39" s="2497" t="s">
        <v>450</v>
      </c>
      <c r="AA39" s="2498"/>
      <c r="AB39" s="2506"/>
      <c r="AC39" s="1679" t="s">
        <v>495</v>
      </c>
      <c r="AD39" s="1449" t="s">
        <v>496</v>
      </c>
      <c r="AE39" s="1449" t="s">
        <v>497</v>
      </c>
      <c r="AF39" s="1682" t="s">
        <v>449</v>
      </c>
      <c r="AG39" s="2497" t="s">
        <v>450</v>
      </c>
      <c r="AH39" s="2498"/>
      <c r="AI39" s="2506"/>
      <c r="AJ39" s="2509"/>
      <c r="AK39" s="2354"/>
      <c r="AQ39" s="1382">
        <v>34</v>
      </c>
    </row>
    <row s="1382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506</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506</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241</v>
      </c>
      <c r="B46" s="1590" t="s">
        <v>242</v>
      </c>
      <c r="C46" s="1590" t="s">
        <v>243</v>
      </c>
      <c r="D46" s="1590" t="s">
        <v>506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506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506</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506</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506</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3222"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229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3222"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230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322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231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35058-1EF3-8069-A978-29FA02C04A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4.140625" hidden="1" customWidth="1"/>
    <col min="10" max="10" style="13221" width="9.8515625" hidden="1" customWidth="1"/>
    <col min="11" max="11" style="13221" width="14.7109375" hidden="1" customWidth="1"/>
    <col min="12" max="12" style="14071" width="19.140625" hidden="1" customWidth="1"/>
    <col min="13" max="14" style="14072" width="12.28125" hidden="1" customWidth="1"/>
    <col min="15" max="15" style="14072" width="23.421875" hidden="1" customWidth="1"/>
    <col min="16" max="16" style="14073" width="3.00390625" customWidth="1"/>
    <col min="17" max="18" style="14074" width="3.00390625" customWidth="1"/>
    <col min="19" max="19" style="14075" width="12.00390625" customWidth="1"/>
    <col min="20" max="20" style="13141" width="35.00390625" customWidth="1"/>
    <col min="21" max="21" style="13141" width="0.140625" customWidth="1"/>
    <col min="22" max="24" style="13141" width="24.7109375" hidden="1" customWidth="1"/>
    <col min="25" max="25" style="13141" width="11.7109375" hidden="1" customWidth="1"/>
    <col min="26" max="26" style="13141" width="3.7109375" hidden="1" customWidth="1"/>
    <col min="27" max="27" style="13141" width="11.7109375" hidden="1" customWidth="1"/>
    <col min="28" max="28" style="13141" width="8.57421875" hidden="1" customWidth="1"/>
    <col min="29" max="29" style="13141" width="24.7109375" customWidth="1"/>
    <col min="30" max="31" style="13141" width="24.00390625" customWidth="1"/>
    <col min="32" max="32" style="13141" width="11.00390625" customWidth="1"/>
    <col min="33" max="33" style="13141" width="3.7109375" customWidth="1"/>
    <col min="34" max="34" style="13141" width="11.00390625" customWidth="1"/>
    <col min="35" max="35" style="13141" width="8.57421875" hidden="1" customWidth="1"/>
    <col min="36" max="36" style="13141" width="4.00390625" customWidth="1"/>
    <col min="37" max="37" style="13141" width="115.00390625" customWidth="1"/>
    <col min="38" max="42" style="13222" width="10.00390625" customWidth="1"/>
    <col min="43" max="43" style="1314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322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229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32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3221"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3221" customFormat="1" customHeight="1" ht="14.25" hidden="1">
      <c r="L19" s="1674"/>
      <c r="M19" s="1589"/>
      <c r="N19" s="1589"/>
      <c r="O19" s="1589"/>
      <c r="P19" s="1589"/>
      <c r="Q19" s="1598"/>
      <c r="R19" s="1598"/>
      <c r="S19" s="956"/>
      <c r="AB19" s="1593"/>
      <c r="AI19" s="1593"/>
      <c r="AL19" s="738"/>
      <c r="AM19" s="738"/>
      <c r="AN19" s="738"/>
      <c r="AO19" s="738"/>
      <c r="AP19" s="738"/>
      <c r="AQ19" s="1387">
        <v>0</v>
      </c>
    </row>
    <row s="13221"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"Уссурийск-Водоканал"</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34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3348"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553"/>
      <c r="AK28" s="507"/>
      <c r="AL28" s="595"/>
      <c r="AM28" s="595"/>
      <c r="AN28" s="595"/>
      <c r="AO28" s="595"/>
      <c r="AP28" s="595"/>
      <c r="AQ28" s="645">
        <v>0</v>
      </c>
    </row>
    <row s="13348"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27-2085</v>
      </c>
      <c r="W29" s="2478"/>
      <c r="X29" s="2478"/>
      <c r="Y29" s="2478"/>
      <c r="Z29" s="2478"/>
      <c r="AA29" s="2478"/>
      <c r="AB29" s="553"/>
      <c r="AC29" s="2478" t="str">
        <f>IF(TITLE_NUMBER_PR_CHANGE="",IF(TITLE_NUMBER_PR="","",TITLE_NUMBER_PR),TITLE_NUMBER_PR_CHANGE)</f>
        <v>27-2085</v>
      </c>
      <c r="AD29" s="2478"/>
      <c r="AE29" s="2478"/>
      <c r="AF29" s="2478"/>
      <c r="AG29" s="2478"/>
      <c r="AH29" s="2478"/>
      <c r="AI29" s="553"/>
      <c r="AJ29" s="553"/>
      <c r="AK29" s="507"/>
      <c r="AL29" s="595"/>
      <c r="AM29" s="595"/>
      <c r="AN29" s="595"/>
      <c r="AO29" s="595"/>
      <c r="AP29" s="595"/>
      <c r="AQ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348"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553"/>
      <c r="AK32" s="507"/>
      <c r="AL32" s="595"/>
      <c r="AM32" s="595"/>
      <c r="AN32" s="595"/>
      <c r="AO32" s="595"/>
      <c r="AP32" s="595"/>
      <c r="AQ32" s="645">
        <v>0</v>
      </c>
    </row>
    <row s="13348"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27-2085</v>
      </c>
      <c r="W33" s="2478"/>
      <c r="X33" s="2478"/>
      <c r="Y33" s="2478"/>
      <c r="Z33" s="2478"/>
      <c r="AA33" s="2478"/>
      <c r="AB33" s="553"/>
      <c r="AC33" s="2478" t="str">
        <f>IF(TITLE_NUMBER_PR_CHANGE="",IF(TITLE_NUMBER_PR="","",TITLE_NUMBER_PR),TITLE_NUMBER_PR_CHANGE)</f>
        <v>27-2085</v>
      </c>
      <c r="AD33" s="2478"/>
      <c r="AE33" s="2478"/>
      <c r="AF33" s="2478"/>
      <c r="AG33" s="2478"/>
      <c r="AH33" s="2478"/>
      <c r="AI33" s="553"/>
      <c r="AJ33" s="553"/>
      <c r="AK33" s="507"/>
      <c r="AL33" s="595"/>
      <c r="AM33" s="595"/>
      <c r="AN33" s="595"/>
      <c r="AO33" s="595"/>
      <c r="AP33" s="595"/>
      <c r="AQ33" s="645">
        <v>0</v>
      </c>
    </row>
    <row s="1334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492</v>
      </c>
      <c r="W38" s="2489" t="s">
        <v>438</v>
      </c>
      <c r="X38" s="2490"/>
      <c r="Y38" s="2489" t="s">
        <v>439</v>
      </c>
      <c r="Z38" s="2496"/>
      <c r="AA38" s="2490"/>
      <c r="AB38" s="2505"/>
      <c r="AC38" s="1679" t="s">
        <v>492</v>
      </c>
      <c r="AD38" s="2489" t="s">
        <v>438</v>
      </c>
      <c r="AE38" s="2490"/>
      <c r="AF38" s="2489" t="s">
        <v>439</v>
      </c>
      <c r="AG38" s="2496"/>
      <c r="AH38" s="2490"/>
      <c r="AI38" s="2505"/>
      <c r="AJ38" s="2508"/>
      <c r="AK38" s="2354"/>
      <c r="AQ38" s="1382">
        <v>34</v>
      </c>
    </row>
    <row customHeight="1" ht="35.699999999999996">
      <c r="A39" s="1597"/>
      <c r="B39" s="1597" t="s">
        <v>135</v>
      </c>
      <c r="C39" s="1597" t="s">
        <v>136</v>
      </c>
      <c r="D39" s="1597" t="s">
        <v>137</v>
      </c>
      <c r="E39" s="1591" t="s">
        <v>440</v>
      </c>
      <c r="F39" s="1591" t="s">
        <v>441</v>
      </c>
      <c r="G39" s="1591" t="s">
        <v>442</v>
      </c>
      <c r="H39" s="1591"/>
      <c r="I39" s="1591" t="s">
        <v>493</v>
      </c>
      <c r="J39" s="1591" t="s">
        <v>445</v>
      </c>
      <c r="K39" s="1591" t="s">
        <v>494</v>
      </c>
      <c r="L39" s="1591" t="s">
        <v>421</v>
      </c>
      <c r="Q39" s="603"/>
      <c r="R39" s="603"/>
      <c r="S39" s="2500"/>
      <c r="T39" s="2436"/>
      <c r="U39" s="529"/>
      <c r="V39" s="1679" t="s">
        <v>495</v>
      </c>
      <c r="W39" s="1449" t="s">
        <v>496</v>
      </c>
      <c r="X39" s="1449" t="s">
        <v>497</v>
      </c>
      <c r="Y39" s="1682" t="s">
        <v>449</v>
      </c>
      <c r="Z39" s="2497" t="s">
        <v>450</v>
      </c>
      <c r="AA39" s="2498"/>
      <c r="AB39" s="2506"/>
      <c r="AC39" s="1679" t="s">
        <v>495</v>
      </c>
      <c r="AD39" s="1449" t="s">
        <v>496</v>
      </c>
      <c r="AE39" s="1449" t="s">
        <v>497</v>
      </c>
      <c r="AF39" s="1682" t="s">
        <v>449</v>
      </c>
      <c r="AG39" s="2497" t="s">
        <v>450</v>
      </c>
      <c r="AH39" s="2498"/>
      <c r="AI39" s="2506"/>
      <c r="AJ39" s="2509"/>
      <c r="AK39" s="2354"/>
      <c r="AQ39" s="1382">
        <v>34</v>
      </c>
    </row>
    <row s="1382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246</v>
      </c>
      <c r="B42" s="1590" t="s">
        <v>247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246</v>
      </c>
      <c r="B43" s="1590" t="s">
        <v>247</v>
      </c>
      <c r="C43" s="1590" t="s">
        <v>248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246</v>
      </c>
      <c r="B44" s="1590" t="s">
        <v>247</v>
      </c>
      <c r="C44" s="1590" t="s">
        <v>248</v>
      </c>
      <c r="D44" s="1590" t="s">
        <v>507</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246</v>
      </c>
      <c r="B45" s="1590" t="s">
        <v>247</v>
      </c>
      <c r="C45" s="1590" t="s">
        <v>248</v>
      </c>
      <c r="D45" s="1590" t="s">
        <v>507</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246</v>
      </c>
      <c r="B46" s="1590" t="s">
        <v>247</v>
      </c>
      <c r="C46" s="1590" t="s">
        <v>248</v>
      </c>
      <c r="D46" s="1590" t="s">
        <v>507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246</v>
      </c>
      <c r="B47" s="1590" t="s">
        <v>247</v>
      </c>
      <c r="C47" s="1590" t="s">
        <v>248</v>
      </c>
      <c r="D47" s="1590" t="s">
        <v>507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246</v>
      </c>
      <c r="B48" s="1590" t="s">
        <v>247</v>
      </c>
      <c r="C48" s="1590" t="s">
        <v>248</v>
      </c>
      <c r="D48" s="1590" t="s">
        <v>507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246</v>
      </c>
      <c r="B49" s="1590" t="s">
        <v>247</v>
      </c>
      <c r="C49" s="1590" t="s">
        <v>248</v>
      </c>
      <c r="D49" s="1590" t="s">
        <v>507</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246</v>
      </c>
      <c r="B50" s="1590" t="s">
        <v>247</v>
      </c>
      <c r="C50" s="1590" t="s">
        <v>248</v>
      </c>
      <c r="D50" s="1590" t="s">
        <v>507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3222" customFormat="1" customHeight="1" ht="0">
      <c r="A51" s="1570" t="s">
        <v>246</v>
      </c>
      <c r="B51" s="1570" t="s">
        <v>247</v>
      </c>
      <c r="C51" s="1541"/>
      <c r="D51" s="1541"/>
      <c r="E51" s="2486"/>
      <c r="F51" s="2485"/>
      <c r="G51" s="1541"/>
      <c r="H51" s="1541"/>
      <c r="I51" s="1541"/>
      <c r="J51" s="1541"/>
      <c r="K51" s="1541"/>
      <c r="L51" s="1685"/>
      <c r="M51" s="1548"/>
      <c r="N51" s="1548"/>
      <c r="P51" s="1543"/>
      <c r="Q51" s="1544"/>
      <c r="R51" s="1543"/>
      <c r="S51" s="1549"/>
      <c r="T51" s="1552" t="s">
        <v>229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3222" customFormat="1" customHeight="1" ht="0">
      <c r="A52" s="1570" t="s">
        <v>246</v>
      </c>
      <c r="B52" s="1570"/>
      <c r="C52" s="1570"/>
      <c r="D52" s="1570"/>
      <c r="E52" s="2485"/>
      <c r="F52" s="1570"/>
      <c r="G52" s="1570"/>
      <c r="H52" s="1570"/>
      <c r="I52" s="1570"/>
      <c r="J52" s="1570"/>
      <c r="K52" s="1570"/>
      <c r="L52" s="1573"/>
      <c r="M52" s="1548"/>
      <c r="N52" s="1548"/>
      <c r="O52" s="745"/>
      <c r="P52" s="607"/>
      <c r="Q52" s="1571"/>
      <c r="R52" s="607"/>
      <c r="S52" s="1549"/>
      <c r="T52" s="1552" t="s">
        <v>230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322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231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BBACF-1AC2-FEF6-4493-B0C800FB0CB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3141" width="10.140625" hidden="1" customWidth="1"/>
    <col min="4" max="4" style="13141" width="11.8515625" hidden="1" customWidth="1"/>
    <col min="5" max="11" style="13141" width="10.140625" hidden="1" customWidth="1"/>
    <col min="12" max="12" style="13219" width="10.140625" hidden="1" customWidth="1"/>
    <col min="13" max="15" style="14073" width="10.140625" hidden="1" customWidth="1"/>
    <col min="16" max="16" style="14072" width="3.00390625" customWidth="1"/>
    <col min="17" max="17" style="14258" width="3.00390625" customWidth="1"/>
    <col min="18" max="18" style="14074" width="3.00390625" customWidth="1"/>
    <col min="19" max="19" style="14075" width="12.00390625" customWidth="1"/>
    <col min="20" max="20" style="13141" width="31.00390625" customWidth="1"/>
    <col min="21" max="21" style="13141" width="0.140625" customWidth="1"/>
    <col min="22" max="23" style="13141" width="21.7109375" hidden="1" customWidth="1"/>
    <col min="24" max="24" style="13141" width="11.7109375" hidden="1" customWidth="1"/>
    <col min="25" max="25" style="13141" width="3.7109375" hidden="1" customWidth="1"/>
    <col min="26" max="26" style="13141" width="11.7109375" hidden="1" customWidth="1"/>
    <col min="27" max="27" style="13141" width="8.57421875" hidden="1" customWidth="1"/>
    <col min="28" max="28" style="13141" width="27.00390625" customWidth="1"/>
    <col min="29" max="29" style="13141" width="24.57421875" customWidth="1"/>
    <col min="30" max="31" style="13141" width="21.00390625" customWidth="1"/>
    <col min="32" max="32" style="13141" width="11.00390625" customWidth="1"/>
    <col min="33" max="33" style="13141" width="3.7109375" customWidth="1"/>
    <col min="34" max="34" style="13141" width="11.00390625" customWidth="1"/>
    <col min="35" max="35" style="13141" width="8.57421875" hidden="1" customWidth="1"/>
    <col min="36" max="36" style="13141" width="4.00390625" customWidth="1"/>
    <col min="37" max="37" style="13141" width="115.00390625" customWidth="1"/>
    <col min="38" max="42" style="13222" width="10.00390625" customWidth="1"/>
    <col min="43" max="43" style="13141"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407</v>
      </c>
      <c r="AM5" s="1851"/>
      <c r="AN5" s="1851" t="str">
        <f>IF(T5="","",T5)</f>
        <v>Источник тепловой энергии  </v>
      </c>
      <c r="AO5" s="1851"/>
      <c r="AP5" s="1851"/>
      <c r="AQ5" s="1858">
        <v>0</v>
      </c>
    </row>
    <row s="13222"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3222"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3222"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3222"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3222"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419</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3222"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229</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3222"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230</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4229"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472</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МУП "Уссурийск-Водоканал"</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3348"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3348"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45408</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3348"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27-2085</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3348"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3348"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45408</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3348"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27-2085</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3348"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305</v>
      </c>
      <c r="T36" s="2354"/>
      <c r="U36" s="2354"/>
      <c r="V36" s="2354"/>
      <c r="W36" s="2354"/>
      <c r="X36" s="2354"/>
      <c r="Y36" s="2354"/>
      <c r="Z36" s="2354"/>
      <c r="AA36" s="2402"/>
      <c r="AB36" s="2402"/>
      <c r="AC36" s="2402"/>
      <c r="AD36" s="2354"/>
      <c r="AE36" s="2354"/>
      <c r="AF36" s="2354"/>
      <c r="AG36" s="2354"/>
      <c r="AH36" s="2354"/>
      <c r="AI36" s="2354"/>
      <c r="AJ36" s="2354"/>
      <c r="AK36" s="2354" t="s">
        <v>306</v>
      </c>
      <c r="AQ36" s="1858">
        <v>14</v>
      </c>
    </row>
    <row customHeight="1" ht="14.699999999999998">
      <c r="Q37" s="518"/>
      <c r="R37" s="603"/>
      <c r="S37" s="2500" t="s">
        <v>88</v>
      </c>
      <c r="T37" s="2436" t="s">
        <v>508</v>
      </c>
      <c r="U37" s="564"/>
      <c r="V37" s="2502"/>
      <c r="W37" s="2502"/>
      <c r="X37" s="2502"/>
      <c r="Y37" s="2502"/>
      <c r="Z37" s="2502"/>
      <c r="AA37" s="2436" t="s">
        <v>433</v>
      </c>
      <c r="AB37" s="2435" t="s">
        <v>509</v>
      </c>
      <c r="AC37" s="2435" t="s">
        <v>476</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479</v>
      </c>
      <c r="W38" s="2354"/>
      <c r="X38" s="2521" t="s">
        <v>439</v>
      </c>
      <c r="Y38" s="2540"/>
      <c r="Z38" s="2540"/>
      <c r="AA38" s="2436"/>
      <c r="AB38" s="2435"/>
      <c r="AC38" s="2435"/>
      <c r="AD38" s="2330" t="s">
        <v>479</v>
      </c>
      <c r="AE38" s="2354"/>
      <c r="AF38" s="2540" t="s">
        <v>439</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135</v>
      </c>
      <c r="C40" s="1493" t="s">
        <v>136</v>
      </c>
      <c r="D40" s="1493" t="s">
        <v>137</v>
      </c>
      <c r="E40" s="1537" t="s">
        <v>440</v>
      </c>
      <c r="F40" s="1537" t="s">
        <v>441</v>
      </c>
      <c r="G40" s="1537" t="s">
        <v>442</v>
      </c>
      <c r="H40" s="1537" t="s">
        <v>443</v>
      </c>
      <c r="I40" s="1537" t="s">
        <v>444</v>
      </c>
      <c r="J40" s="1537" t="s">
        <v>445</v>
      </c>
      <c r="K40" s="1537" t="s">
        <v>446</v>
      </c>
      <c r="L40" s="1537" t="s">
        <v>421</v>
      </c>
      <c r="Q40" s="518"/>
      <c r="R40" s="603"/>
      <c r="S40" s="2500"/>
      <c r="T40" s="2436"/>
      <c r="U40" s="529"/>
      <c r="V40" s="2177" t="s">
        <v>480</v>
      </c>
      <c r="W40" s="2177" t="s">
        <v>481</v>
      </c>
      <c r="X40" s="2165" t="s">
        <v>449</v>
      </c>
      <c r="Y40" s="2497" t="s">
        <v>450</v>
      </c>
      <c r="Z40" s="2547"/>
      <c r="AA40" s="2436"/>
      <c r="AB40" s="2435"/>
      <c r="AC40" s="2435"/>
      <c r="AD40" s="2195" t="s">
        <v>480</v>
      </c>
      <c r="AE40" s="2186" t="s">
        <v>481</v>
      </c>
      <c r="AF40" s="2165" t="s">
        <v>449</v>
      </c>
      <c r="AG40" s="2497" t="s">
        <v>450</v>
      </c>
      <c r="AH40" s="2498"/>
      <c r="AI40" s="2506"/>
      <c r="AJ40" s="2509"/>
      <c r="AK40" s="2354"/>
      <c r="AQ40" s="1858">
        <v>14</v>
      </c>
    </row>
    <row s="13827"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204</v>
      </c>
      <c r="B43" s="1494" t="s">
        <v>205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402</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403</v>
      </c>
      <c r="AM43" s="1851"/>
      <c r="AN43" s="1851" t="str">
        <f>IF(T43="","",T43)</f>
        <v>Территория действия тарифа</v>
      </c>
      <c r="AO43" s="1851"/>
      <c r="AP43" s="1851"/>
      <c r="AQ43" s="1858">
        <v>21</v>
      </c>
    </row>
    <row customHeight="1" ht="24">
      <c r="A44" s="1494" t="s">
        <v>204</v>
      </c>
      <c r="B44" s="1494" t="s">
        <v>205</v>
      </c>
      <c r="C44" s="1494" t="s">
        <v>206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404</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405</v>
      </c>
      <c r="AM44" s="1851"/>
      <c r="AN44" s="1851" t="str">
        <f>IF(T44="","",T44)</f>
        <v>Наименование системы теплоснабжения </v>
      </c>
      <c r="AO44" s="1851"/>
      <c r="AP44" s="1851"/>
      <c r="AQ44" s="1858">
        <v>23</v>
      </c>
    </row>
    <row customHeight="1" ht="22.049999999999997">
      <c r="A45" s="1494" t="s">
        <v>204</v>
      </c>
      <c r="B45" s="1494" t="s">
        <v>205</v>
      </c>
      <c r="C45" s="1494" t="s">
        <v>206</v>
      </c>
      <c r="D45" s="1494" t="s">
        <v>207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406</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407</v>
      </c>
      <c r="AM45" s="1851"/>
      <c r="AN45" s="1851" t="str">
        <f>IF(T45="","",T45)</f>
        <v>Источник тепловой энергии  </v>
      </c>
      <c r="AO45" s="1851"/>
      <c r="AP45" s="1851"/>
      <c r="AQ45" s="1858">
        <v>21</v>
      </c>
    </row>
    <row s="13222" customFormat="1" customHeight="1" ht="0">
      <c r="A46" s="1602" t="s">
        <v>204</v>
      </c>
      <c r="B46" s="1602" t="s">
        <v>205</v>
      </c>
      <c r="C46" s="1602" t="s">
        <v>206</v>
      </c>
      <c r="D46" s="1602" t="s">
        <v>207</v>
      </c>
      <c r="E46" s="2517"/>
      <c r="F46" s="2517"/>
      <c r="G46" s="2517"/>
      <c r="H46" s="2517"/>
      <c r="I46" s="2354" t="str">
        <f>S45&amp;".1"</f>
        <v>....1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3222" customFormat="1" customHeight="1" ht="0">
      <c r="A47" s="1602" t="s">
        <v>204</v>
      </c>
      <c r="B47" s="1602" t="s">
        <v>205</v>
      </c>
      <c r="C47" s="1602" t="s">
        <v>206</v>
      </c>
      <c r="D47" s="1602" t="s">
        <v>207</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204</v>
      </c>
      <c r="B48" s="1494" t="s">
        <v>205</v>
      </c>
      <c r="C48" s="1494" t="s">
        <v>206</v>
      </c>
      <c r="D48" s="1494" t="s">
        <v>207</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66</v>
      </c>
      <c r="Z48" s="2182"/>
      <c r="AA48" s="2169" t="s">
        <v>66</v>
      </c>
      <c r="AB48" s="2191"/>
      <c r="AC48" s="2190" t="s">
        <v>28</v>
      </c>
      <c r="AD48" s="978"/>
      <c r="AE48" s="1484"/>
      <c r="AF48" s="2182"/>
      <c r="AG48" s="2169" t="s">
        <v>66</v>
      </c>
      <c r="AH48" s="2182"/>
      <c r="AI48" s="2169" t="s">
        <v>66</v>
      </c>
      <c r="AJ48" s="1575"/>
      <c r="AK48" s="2480" t="s">
        <v>482</v>
      </c>
      <c r="AL48" s="1863">
        <f>STRCHECKDATE(#REF!)</f>
      </c>
      <c r="AM48" s="1851"/>
      <c r="AN48" s="1851" t="str">
        <f>IF(T48="","",T48)</f>
        <v/>
      </c>
      <c r="AO48" s="1851"/>
      <c r="AP48" s="1851"/>
      <c r="AQ48" s="1858">
        <v>21</v>
      </c>
    </row>
    <row customHeight="1" ht="11.549999999999999">
      <c r="A49" s="1494" t="s">
        <v>204</v>
      </c>
      <c r="B49" s="1494" t="s">
        <v>205</v>
      </c>
      <c r="C49" s="1494" t="s">
        <v>206</v>
      </c>
      <c r="D49" s="1494" t="s">
        <v>207</v>
      </c>
      <c r="E49" s="2517"/>
      <c r="F49" s="2517"/>
      <c r="G49" s="2517"/>
      <c r="H49" s="2517"/>
      <c r="I49" s="2328"/>
      <c r="J49" s="2354"/>
      <c r="K49" s="1494"/>
      <c r="L49" s="1537"/>
      <c r="P49" s="2484"/>
      <c r="Q49" s="2484"/>
      <c r="R49" s="583"/>
      <c r="S49" s="1505"/>
      <c r="T49" s="514" t="s">
        <v>470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3222" customFormat="1" customHeight="1" ht="1.05">
      <c r="A50" s="1602" t="s">
        <v>204</v>
      </c>
      <c r="B50" s="1602" t="s">
        <v>205</v>
      </c>
      <c r="C50" s="1602" t="s">
        <v>206</v>
      </c>
      <c r="D50" s="1602" t="s">
        <v>207</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3827" customFormat="1" customHeight="1" ht="1.05">
      <c r="A51" s="1602" t="s">
        <v>204</v>
      </c>
      <c r="B51" s="1602" t="s">
        <v>205</v>
      </c>
      <c r="C51" s="1602" t="s">
        <v>206</v>
      </c>
      <c r="D51" s="1602" t="s">
        <v>207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3222" customFormat="1" customHeight="1" ht="1.05">
      <c r="A52" s="1602" t="s">
        <v>204</v>
      </c>
      <c r="B52" s="1602" t="s">
        <v>205</v>
      </c>
      <c r="C52" s="1602" t="s">
        <v>206</v>
      </c>
      <c r="D52" s="1601"/>
      <c r="E52" s="2517"/>
      <c r="F52" s="2517"/>
      <c r="G52" s="2516"/>
      <c r="H52" s="1601"/>
      <c r="I52" s="1601"/>
      <c r="J52" s="1601"/>
      <c r="K52" s="1601"/>
      <c r="L52" s="1604"/>
      <c r="M52" s="1605"/>
      <c r="N52" s="1605"/>
      <c r="O52" s="578"/>
      <c r="P52" s="1543"/>
      <c r="Q52" s="1544"/>
      <c r="R52" s="1543"/>
      <c r="S52" s="1549"/>
      <c r="T52" s="1552" t="s">
        <v>419</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3222" customFormat="1" customHeight="1" ht="1.05">
      <c r="A53" s="1602" t="s">
        <v>204</v>
      </c>
      <c r="B53" s="1602" t="s">
        <v>205</v>
      </c>
      <c r="C53" s="1601"/>
      <c r="D53" s="1601"/>
      <c r="E53" s="2517"/>
      <c r="F53" s="2516"/>
      <c r="G53" s="1601"/>
      <c r="H53" s="1601"/>
      <c r="I53" s="1601"/>
      <c r="J53" s="1601"/>
      <c r="K53" s="1601"/>
      <c r="L53" s="1604"/>
      <c r="M53" s="1606"/>
      <c r="N53" s="1606"/>
      <c r="O53" s="578"/>
      <c r="P53" s="1543"/>
      <c r="Q53" s="1544"/>
      <c r="R53" s="1543"/>
      <c r="S53" s="1549"/>
      <c r="T53" s="1552" t="s">
        <v>229</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3222" customFormat="1" customHeight="1" ht="1.05">
      <c r="A54" s="1602" t="s">
        <v>204</v>
      </c>
      <c r="B54" s="1602"/>
      <c r="C54" s="1602"/>
      <c r="D54" s="1602"/>
      <c r="E54" s="2517"/>
      <c r="F54" s="1602"/>
      <c r="G54" s="1602"/>
      <c r="H54" s="1602"/>
      <c r="I54" s="1602"/>
      <c r="J54" s="1602"/>
      <c r="K54" s="1602"/>
      <c r="L54" s="1608"/>
      <c r="M54" s="1606"/>
      <c r="N54" s="1606"/>
      <c r="O54" s="578"/>
      <c r="P54" s="607"/>
      <c r="Q54" s="1571"/>
      <c r="R54" s="607"/>
      <c r="S54" s="1549"/>
      <c r="T54" s="1552" t="s">
        <v>230</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3222" customFormat="1" customHeight="1" ht="1.05">
      <c r="A55" s="1602" t="s">
        <v>204</v>
      </c>
      <c r="B55" s="1602"/>
      <c r="C55" s="1602"/>
      <c r="D55" s="1602"/>
      <c r="E55" s="2516"/>
      <c r="F55" s="1602"/>
      <c r="G55" s="1602"/>
      <c r="H55" s="1602"/>
      <c r="I55" s="1602"/>
      <c r="J55" s="1602"/>
      <c r="K55" s="1602"/>
      <c r="L55" s="1608"/>
      <c r="M55" s="1606"/>
      <c r="N55" s="1606"/>
      <c r="O55" s="578"/>
      <c r="P55" s="607"/>
      <c r="Q55" s="1571"/>
      <c r="R55" s="607"/>
      <c r="S55" s="1549"/>
      <c r="T55" s="1552" t="s">
        <v>230</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3222"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231</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441FE-B70A-5307-E6FE-B6D983BE22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221" width="11.57421875" hidden="1" customWidth="1"/>
    <col min="2" max="2" style="13221" width="11.00390625" hidden="1" customWidth="1"/>
    <col min="3" max="3" style="13221" width="10.57421875" hidden="1"/>
    <col min="4" max="4" style="13221" width="12.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2.00390625" hidden="1" customWidth="1"/>
    <col min="10" max="10" style="13221" width="9.8515625" hidden="1" customWidth="1"/>
    <col min="11" max="11" style="13221" width="11.421875" hidden="1" customWidth="1"/>
    <col min="12" max="12" style="14071" width="19.140625" hidden="1" customWidth="1"/>
    <col min="13" max="14" style="14072" width="12.28125" hidden="1" customWidth="1"/>
    <col min="15" max="15" style="14072" width="23.421875" hidden="1" customWidth="1"/>
    <col min="16" max="16" style="14072" width="3.7109375" hidden="1" customWidth="1"/>
    <col min="17" max="17" style="14258" width="3.7109375" hidden="1" customWidth="1"/>
    <col min="18" max="18" style="14074" width="3.00390625" customWidth="1"/>
    <col min="19" max="19" style="14075" width="12.00390625" customWidth="1"/>
    <col min="20" max="20" style="13141" width="31.00390625" customWidth="1"/>
    <col min="21" max="21" style="13141" width="0.140625" customWidth="1"/>
    <col min="22" max="25" style="13141" width="21.7109375" hidden="1" customWidth="1"/>
    <col min="26" max="26" style="13141" width="11.7109375" hidden="1" customWidth="1"/>
    <col min="27" max="27" style="13141" width="3.7109375" hidden="1" customWidth="1"/>
    <col min="28" max="28" style="13141" width="11.7109375" hidden="1" customWidth="1"/>
    <col min="29" max="29" style="13141" width="8.57421875" hidden="1" customWidth="1"/>
    <col min="30" max="30" style="13141" width="3.7109375" customWidth="1"/>
    <col min="31" max="32" style="13141" width="3.00390625" customWidth="1"/>
    <col min="33" max="33" style="13141" width="24.00390625" customWidth="1"/>
    <col min="34" max="34" style="13141" width="3.7109375" customWidth="1"/>
    <col min="35" max="36" style="13141" width="3.00390625" customWidth="1"/>
    <col min="37" max="37" style="13141" width="24.00390625" customWidth="1"/>
    <col min="38" max="38" style="13141" width="3.7109375" customWidth="1"/>
    <col min="39" max="40" style="13141" width="3.00390625" customWidth="1"/>
    <col min="41" max="41" style="13141" width="18.00390625" customWidth="1"/>
    <col min="42" max="42" style="13141" width="3.7109375" customWidth="1"/>
    <col min="43" max="44" style="13141" width="3.00390625" customWidth="1"/>
    <col min="45" max="45" style="13141" width="18.00390625" customWidth="1"/>
    <col min="46" max="49" style="13141" width="21.00390625" customWidth="1"/>
    <col min="50" max="50" style="13141" width="11.00390625" customWidth="1"/>
    <col min="51" max="51" style="13141" width="3.7109375" customWidth="1"/>
    <col min="52" max="52" style="13141" width="11.00390625" customWidth="1"/>
    <col min="53" max="53" style="13141" width="8.57421875" hidden="1" customWidth="1"/>
    <col min="54" max="54" style="13141" width="4.00390625" customWidth="1"/>
    <col min="55" max="55" style="13141" width="115.00390625" customWidth="1"/>
    <col min="56" max="60" style="13222" width="10.00390625" customWidth="1"/>
    <col min="61" max="61" style="1314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322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3222"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322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510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511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3222"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322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3222"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3222"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229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322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230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4229" customFormat="1" customHeight="1" ht="14.25" hidden="1">
      <c r="M24" s="1735"/>
      <c r="N24" s="1735"/>
      <c r="O24" s="1736" t="s">
        <v>421</v>
      </c>
      <c r="P24" s="1735"/>
      <c r="Q24" s="1737"/>
      <c r="R24" s="1737"/>
      <c r="AA24" s="1734" t="s">
        <v>423</v>
      </c>
      <c r="AC24" s="1734" t="s">
        <v>424</v>
      </c>
      <c r="AD24" s="1734" t="s">
        <v>471</v>
      </c>
      <c r="AH24" s="1734" t="s">
        <v>471</v>
      </c>
      <c r="AK24" s="1734" t="s">
        <v>515</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"Уссурийск-Водоканал"</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334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334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45408</v>
      </c>
      <c r="W32" s="2491"/>
      <c r="X32" s="2491"/>
      <c r="Y32" s="2491"/>
      <c r="Z32" s="2491"/>
      <c r="AA32" s="2491"/>
      <c r="AB32" s="2491"/>
      <c r="AC32" s="553"/>
      <c r="AD32" s="2491" t="str">
        <f>IF(TITLE_DATE_PR_CHANGE="",IF(TITLE_DATE_PR="","",TITLE_DATE_PR),TITLE_DATE_PR_CHANGE)</f>
        <v>45408</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334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27-2085</v>
      </c>
      <c r="W33" s="2478"/>
      <c r="X33" s="2478"/>
      <c r="Y33" s="2478"/>
      <c r="Z33" s="2478"/>
      <c r="AA33" s="2478"/>
      <c r="AB33" s="2478"/>
      <c r="AC33" s="553"/>
      <c r="AD33" s="2478" t="str">
        <f>IF(TITLE_NUMBER_PR_CHANGE="",IF(TITLE_NUMBER_PR="","",TITLE_NUMBER_PR),TITLE_NUMBER_PR_CHANGE)</f>
        <v>27-2085</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334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3348"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45408</v>
      </c>
      <c r="W36" s="2491"/>
      <c r="X36" s="2491"/>
      <c r="Y36" s="2491"/>
      <c r="Z36" s="2491"/>
      <c r="AA36" s="2491"/>
      <c r="AB36" s="2491"/>
      <c r="AC36" s="553"/>
      <c r="AD36" s="2491" t="str">
        <f>IF(TITLE_DATE_PR_CHANGE="",IF(TITLE_DATE_PR="","",TITLE_DATE_PR),TITLE_DATE_PR_CHANGE)</f>
        <v>45408</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3348"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27-2085</v>
      </c>
      <c r="W37" s="2478"/>
      <c r="X37" s="2478"/>
      <c r="Y37" s="2478"/>
      <c r="Z37" s="2478"/>
      <c r="AA37" s="2478"/>
      <c r="AB37" s="2478"/>
      <c r="AC37" s="553"/>
      <c r="AD37" s="2478" t="str">
        <f>IF(TITLE_NUMBER_PR_CHANGE="",IF(TITLE_NUMBER_PR="","",TITLE_NUMBER_PR),TITLE_NUMBER_PR_CHANGE)</f>
        <v>27-2085</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334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516</v>
      </c>
      <c r="U41" s="528"/>
      <c r="V41" s="2501" t="s">
        <v>432</v>
      </c>
      <c r="W41" s="2502"/>
      <c r="X41" s="2502"/>
      <c r="Y41" s="2502"/>
      <c r="Z41" s="2502"/>
      <c r="AA41" s="2502"/>
      <c r="AB41" s="2503"/>
      <c r="AC41" s="2504" t="s">
        <v>433</v>
      </c>
      <c r="AD41" s="2555" t="s">
        <v>517</v>
      </c>
      <c r="AE41" s="2518"/>
      <c r="AF41" s="2518"/>
      <c r="AG41" s="2556"/>
      <c r="AH41" s="2555" t="s">
        <v>518</v>
      </c>
      <c r="AI41" s="2518"/>
      <c r="AJ41" s="2518"/>
      <c r="AK41" s="2556"/>
      <c r="AL41" s="2555" t="s">
        <v>519</v>
      </c>
      <c r="AM41" s="2518"/>
      <c r="AN41" s="2518"/>
      <c r="AO41" s="2556"/>
      <c r="AP41" s="2555" t="s">
        <v>520</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521</v>
      </c>
      <c r="W42" s="2420"/>
      <c r="X42" s="2419" t="s">
        <v>522</v>
      </c>
      <c r="Y42" s="2420"/>
      <c r="Z42" s="2521" t="s">
        <v>523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521</v>
      </c>
      <c r="AU42" s="2420"/>
      <c r="AV42" s="2419" t="s">
        <v>522</v>
      </c>
      <c r="AW42" s="2420"/>
      <c r="AX42" s="2521" t="s">
        <v>523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440</v>
      </c>
      <c r="F44" s="1591" t="s">
        <v>441</v>
      </c>
      <c r="G44" s="1591" t="s">
        <v>442</v>
      </c>
      <c r="H44" s="1591" t="s">
        <v>443</v>
      </c>
      <c r="I44" s="1591" t="s">
        <v>444</v>
      </c>
      <c r="J44" s="1591" t="s">
        <v>445</v>
      </c>
      <c r="K44" s="1591" t="s">
        <v>446</v>
      </c>
      <c r="L44" s="1591" t="s">
        <v>421</v>
      </c>
      <c r="Q44" s="518"/>
      <c r="R44" s="603"/>
      <c r="S44" s="2500"/>
      <c r="T44" s="2436"/>
      <c r="U44" s="529"/>
      <c r="V44" s="1675" t="s">
        <v>480</v>
      </c>
      <c r="W44" s="1675" t="s">
        <v>481</v>
      </c>
      <c r="X44" s="1675" t="s">
        <v>480</v>
      </c>
      <c r="Y44" s="1675" t="s">
        <v>481</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480</v>
      </c>
      <c r="AU44" s="1675" t="s">
        <v>481</v>
      </c>
      <c r="AV44" s="1675" t="s">
        <v>480</v>
      </c>
      <c r="AW44" s="1675" t="s">
        <v>481</v>
      </c>
      <c r="AX44" s="1682" t="s">
        <v>449</v>
      </c>
      <c r="AY44" s="2497" t="s">
        <v>450</v>
      </c>
      <c r="AZ44" s="2498"/>
      <c r="BA44" s="2506"/>
      <c r="BB44" s="2509"/>
      <c r="BC44" s="2354"/>
      <c r="BI44" s="1382">
        <v>14</v>
      </c>
    </row>
    <row s="1382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251</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251</v>
      </c>
      <c r="B47" s="1590" t="s">
        <v>252</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251</v>
      </c>
      <c r="B48" s="1590" t="s">
        <v>252</v>
      </c>
      <c r="C48" s="1590" t="s">
        <v>253</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3222" customFormat="1" customHeight="1" ht="0">
      <c r="A49" s="1570" t="s">
        <v>251</v>
      </c>
      <c r="B49" s="1570" t="s">
        <v>252</v>
      </c>
      <c r="C49" s="1570" t="s">
        <v>253</v>
      </c>
      <c r="D49" s="1570" t="s">
        <v>524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3222" customFormat="1" customHeight="1" ht="0">
      <c r="A50" s="1570" t="s">
        <v>251</v>
      </c>
      <c r="B50" s="1570" t="s">
        <v>252</v>
      </c>
      <c r="C50" s="1570" t="s">
        <v>253</v>
      </c>
      <c r="D50" s="1570" t="s">
        <v>524</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3222" customFormat="1" customHeight="1" ht="0">
      <c r="A51" s="1570" t="s">
        <v>251</v>
      </c>
      <c r="B51" s="1570" t="s">
        <v>252</v>
      </c>
      <c r="C51" s="1570" t="s">
        <v>253</v>
      </c>
      <c r="D51" s="1570" t="s">
        <v>524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251</v>
      </c>
      <c r="B52" s="1590" t="s">
        <v>252</v>
      </c>
      <c r="C52" s="1590" t="s">
        <v>253</v>
      </c>
      <c r="D52" s="1590" t="s">
        <v>524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510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511</v>
      </c>
      <c r="AT53" s="1620"/>
      <c r="AU53" s="1723"/>
      <c r="AV53" s="1620"/>
      <c r="AW53" s="1723"/>
      <c r="AX53" s="1620"/>
      <c r="AY53" s="1620"/>
      <c r="AZ53" s="1620"/>
      <c r="BA53" s="1620"/>
      <c r="BB53" s="1624"/>
      <c r="BC53" s="2481"/>
      <c r="BE53" s="727"/>
      <c r="BF53" s="727"/>
      <c r="BG53" s="727"/>
      <c r="BH53" s="727"/>
      <c r="BI53" s="1382">
        <v>11</v>
      </c>
    </row>
    <row customHeight="1" ht="11.549999999999999">
      <c r="A54" s="1590" t="s">
        <v>251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251</v>
      </c>
      <c r="B56" s="1590" t="s">
        <v>252</v>
      </c>
      <c r="C56" s="1590" t="s">
        <v>253</v>
      </c>
      <c r="D56" s="1590" t="s">
        <v>524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251</v>
      </c>
      <c r="B57" s="1590" t="s">
        <v>252</v>
      </c>
      <c r="C57" s="1590" t="s">
        <v>253</v>
      </c>
      <c r="D57" s="1590" t="s">
        <v>524</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3222" customFormat="1" customHeight="1" ht="0">
      <c r="A58" s="1570" t="s">
        <v>251</v>
      </c>
      <c r="B58" s="1570" t="s">
        <v>252</v>
      </c>
      <c r="C58" s="1570" t="s">
        <v>253</v>
      </c>
      <c r="D58" s="1570" t="s">
        <v>524</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3222" customFormat="1" customHeight="1" ht="0">
      <c r="A59" s="1570" t="s">
        <v>251</v>
      </c>
      <c r="B59" s="1570" t="s">
        <v>252</v>
      </c>
      <c r="C59" s="1570" t="s">
        <v>253</v>
      </c>
      <c r="D59" s="1570" t="s">
        <v>524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3222" customFormat="1" customHeight="1" ht="0">
      <c r="A60" s="1570" t="s">
        <v>251</v>
      </c>
      <c r="B60" s="1570" t="s">
        <v>252</v>
      </c>
      <c r="C60" s="1570" t="s">
        <v>253</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3222" customFormat="1" customHeight="1" ht="0">
      <c r="A61" s="1570" t="s">
        <v>251</v>
      </c>
      <c r="B61" s="1570" t="s">
        <v>252</v>
      </c>
      <c r="C61" s="1541"/>
      <c r="D61" s="1541"/>
      <c r="E61" s="2486"/>
      <c r="F61" s="2485"/>
      <c r="G61" s="1541"/>
      <c r="H61" s="1541"/>
      <c r="I61" s="1541"/>
      <c r="J61" s="1541"/>
      <c r="K61" s="1541"/>
      <c r="L61" s="1691"/>
      <c r="M61" s="1548"/>
      <c r="N61" s="1548"/>
      <c r="P61" s="1543"/>
      <c r="Q61" s="1544"/>
      <c r="R61" s="1543"/>
      <c r="S61" s="1549"/>
      <c r="T61" s="1552" t="s">
        <v>229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3222" customFormat="1" customHeight="1" ht="0">
      <c r="A62" s="1570" t="s">
        <v>251</v>
      </c>
      <c r="B62" s="1570"/>
      <c r="C62" s="1570"/>
      <c r="D62" s="1570"/>
      <c r="E62" s="2485"/>
      <c r="F62" s="1570"/>
      <c r="G62" s="1570"/>
      <c r="H62" s="1570"/>
      <c r="I62" s="1570"/>
      <c r="J62" s="1570"/>
      <c r="K62" s="1570"/>
      <c r="L62" s="1573"/>
      <c r="M62" s="1548"/>
      <c r="N62" s="1548"/>
      <c r="O62" s="745"/>
      <c r="P62" s="607"/>
      <c r="Q62" s="1571"/>
      <c r="R62" s="607"/>
      <c r="S62" s="1549"/>
      <c r="T62" s="1552" t="s">
        <v>230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3222"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231</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B676B-4F14-7542-42B9-4999FCDAB4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4.140625" hidden="1" customWidth="1"/>
    <col min="10" max="10" style="13221" width="9.8515625" hidden="1" customWidth="1"/>
    <col min="11" max="11" style="13221" width="14.7109375" hidden="1" customWidth="1"/>
    <col min="12" max="12" style="14071" width="19.140625" hidden="1" customWidth="1"/>
    <col min="13" max="14" style="14072" width="12.28125" hidden="1" customWidth="1"/>
    <col min="15" max="15" style="14072" width="23.421875" hidden="1" customWidth="1"/>
    <col min="16" max="16" style="14073" width="3.00390625" customWidth="1"/>
    <col min="17" max="18" style="14074" width="3.00390625" customWidth="1"/>
    <col min="19" max="19" style="14075" width="12.00390625" customWidth="1"/>
    <col min="20" max="20" style="13141" width="35.00390625" customWidth="1"/>
    <col min="21" max="21" style="13141" width="0.140625" customWidth="1"/>
    <col min="22" max="24" style="13141" width="24.7109375" hidden="1" customWidth="1"/>
    <col min="25" max="25" style="13141" width="11.7109375" hidden="1" customWidth="1"/>
    <col min="26" max="26" style="13141" width="3.7109375" hidden="1" customWidth="1"/>
    <col min="27" max="27" style="13141" width="11.7109375" hidden="1" customWidth="1"/>
    <col min="28" max="28" style="13141" width="8.57421875" hidden="1" customWidth="1"/>
    <col min="29" max="29" style="13141" width="24.7109375" customWidth="1"/>
    <col min="30" max="31" style="13141" width="24.00390625" customWidth="1"/>
    <col min="32" max="32" style="13141" width="11.00390625" customWidth="1"/>
    <col min="33" max="33" style="13141" width="3.7109375" customWidth="1"/>
    <col min="34" max="34" style="13141" width="11.00390625" customWidth="1"/>
    <col min="35" max="35" style="13141" width="8.57421875" hidden="1" customWidth="1"/>
    <col min="36" max="36" style="13141" width="4.00390625" customWidth="1"/>
    <col min="37" max="37" style="13141" width="115.00390625" customWidth="1"/>
    <col min="38" max="42" style="13222" width="10.00390625" customWidth="1"/>
    <col min="43" max="43" style="1314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322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229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32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3221"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3221" customFormat="1" customHeight="1" ht="14.25" hidden="1">
      <c r="L19" s="1705"/>
      <c r="M19" s="1589"/>
      <c r="N19" s="1589"/>
      <c r="O19" s="1589"/>
      <c r="P19" s="1589"/>
      <c r="Q19" s="1598"/>
      <c r="R19" s="1598"/>
      <c r="S19" s="956"/>
      <c r="AB19" s="1593"/>
      <c r="AI19" s="1593"/>
      <c r="AL19" s="738"/>
      <c r="AM19" s="738"/>
      <c r="AN19" s="738"/>
      <c r="AO19" s="738"/>
      <c r="AP19" s="738"/>
      <c r="AQ19" s="1387">
        <v>0</v>
      </c>
    </row>
    <row s="13221"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"Уссурийск-Водоканал"</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34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3348"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553"/>
      <c r="AK28" s="507"/>
      <c r="AL28" s="595"/>
      <c r="AM28" s="595"/>
      <c r="AN28" s="595"/>
      <c r="AO28" s="595"/>
      <c r="AP28" s="595"/>
      <c r="AQ28" s="645">
        <v>0</v>
      </c>
    </row>
    <row s="13348"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27-2085</v>
      </c>
      <c r="W29" s="2478"/>
      <c r="X29" s="2478"/>
      <c r="Y29" s="2478"/>
      <c r="Z29" s="2478"/>
      <c r="AA29" s="2478"/>
      <c r="AB29" s="553"/>
      <c r="AC29" s="2478" t="str">
        <f>IF(TITLE_NUMBER_PR_CHANGE="",IF(TITLE_NUMBER_PR="","",TITLE_NUMBER_PR),TITLE_NUMBER_PR_CHANGE)</f>
        <v>27-2085</v>
      </c>
      <c r="AD29" s="2478"/>
      <c r="AE29" s="2478"/>
      <c r="AF29" s="2478"/>
      <c r="AG29" s="2478"/>
      <c r="AH29" s="2478"/>
      <c r="AI29" s="553"/>
      <c r="AJ29" s="553"/>
      <c r="AK29" s="507"/>
      <c r="AL29" s="595"/>
      <c r="AM29" s="595"/>
      <c r="AN29" s="595"/>
      <c r="AO29" s="595"/>
      <c r="AP29" s="595"/>
      <c r="AQ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348"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553"/>
      <c r="AK32" s="507"/>
      <c r="AL32" s="595"/>
      <c r="AM32" s="595"/>
      <c r="AN32" s="595"/>
      <c r="AO32" s="595"/>
      <c r="AP32" s="595"/>
      <c r="AQ32" s="645">
        <v>0</v>
      </c>
    </row>
    <row s="13348"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27-2085</v>
      </c>
      <c r="W33" s="2478"/>
      <c r="X33" s="2478"/>
      <c r="Y33" s="2478"/>
      <c r="Z33" s="2478"/>
      <c r="AA33" s="2478"/>
      <c r="AB33" s="553"/>
      <c r="AC33" s="2478" t="str">
        <f>IF(TITLE_NUMBER_PR_CHANGE="",IF(TITLE_NUMBER_PR="","",TITLE_NUMBER_PR),TITLE_NUMBER_PR_CHANGE)</f>
        <v>27-2085</v>
      </c>
      <c r="AD33" s="2478"/>
      <c r="AE33" s="2478"/>
      <c r="AF33" s="2478"/>
      <c r="AG33" s="2478"/>
      <c r="AH33" s="2478"/>
      <c r="AI33" s="553"/>
      <c r="AJ33" s="553"/>
      <c r="AK33" s="507"/>
      <c r="AL33" s="595"/>
      <c r="AM33" s="595"/>
      <c r="AN33" s="595"/>
      <c r="AO33" s="595"/>
      <c r="AP33" s="595"/>
      <c r="AQ33" s="645">
        <v>0</v>
      </c>
    </row>
    <row s="1334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492</v>
      </c>
      <c r="W38" s="2489" t="s">
        <v>438</v>
      </c>
      <c r="X38" s="2490"/>
      <c r="Y38" s="2489" t="s">
        <v>439</v>
      </c>
      <c r="Z38" s="2496"/>
      <c r="AA38" s="2490"/>
      <c r="AB38" s="2505"/>
      <c r="AC38" s="1710" t="s">
        <v>492</v>
      </c>
      <c r="AD38" s="2489" t="s">
        <v>438</v>
      </c>
      <c r="AE38" s="2490"/>
      <c r="AF38" s="2489" t="s">
        <v>439</v>
      </c>
      <c r="AG38" s="2496"/>
      <c r="AH38" s="2490"/>
      <c r="AI38" s="2505"/>
      <c r="AJ38" s="2508"/>
      <c r="AK38" s="2354"/>
      <c r="AQ38" s="1382">
        <v>34</v>
      </c>
    </row>
    <row customHeight="1" ht="90.3">
      <c r="A39" s="1597"/>
      <c r="B39" s="1597" t="s">
        <v>135</v>
      </c>
      <c r="C39" s="1597" t="s">
        <v>136</v>
      </c>
      <c r="D39" s="1597" t="s">
        <v>137</v>
      </c>
      <c r="E39" s="1591" t="s">
        <v>440</v>
      </c>
      <c r="F39" s="1591" t="s">
        <v>441</v>
      </c>
      <c r="G39" s="1591" t="s">
        <v>442</v>
      </c>
      <c r="H39" s="1591"/>
      <c r="I39" s="1591" t="s">
        <v>493</v>
      </c>
      <c r="J39" s="1591" t="s">
        <v>445</v>
      </c>
      <c r="K39" s="1591" t="s">
        <v>494</v>
      </c>
      <c r="L39" s="1591" t="s">
        <v>421</v>
      </c>
      <c r="Q39" s="603"/>
      <c r="R39" s="603"/>
      <c r="S39" s="2500"/>
      <c r="T39" s="2436"/>
      <c r="U39" s="529"/>
      <c r="V39" s="1710" t="s">
        <v>527</v>
      </c>
      <c r="W39" s="1449" t="s">
        <v>528</v>
      </c>
      <c r="X39" s="1449" t="s">
        <v>497</v>
      </c>
      <c r="Y39" s="1716" t="s">
        <v>449</v>
      </c>
      <c r="Z39" s="2497" t="s">
        <v>450</v>
      </c>
      <c r="AA39" s="2498"/>
      <c r="AB39" s="2506"/>
      <c r="AC39" s="1710" t="s">
        <v>527</v>
      </c>
      <c r="AD39" s="1449" t="s">
        <v>528</v>
      </c>
      <c r="AE39" s="1449" t="s">
        <v>497</v>
      </c>
      <c r="AF39" s="1716" t="s">
        <v>449</v>
      </c>
      <c r="AG39" s="2497" t="s">
        <v>450</v>
      </c>
      <c r="AH39" s="2498"/>
      <c r="AI39" s="2506"/>
      <c r="AJ39" s="2509"/>
      <c r="AK39" s="2354"/>
      <c r="AQ39" s="1382">
        <v>86</v>
      </c>
    </row>
    <row s="1382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526</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529</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529</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271</v>
      </c>
      <c r="B46" s="1590" t="s">
        <v>272</v>
      </c>
      <c r="C46" s="1590" t="s">
        <v>273</v>
      </c>
      <c r="D46" s="1590" t="s">
        <v>529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529</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3222"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229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3222"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230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322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231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E73A5-E2EF-64E7-F0B8-7C06D3A39D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4.140625" hidden="1" customWidth="1"/>
    <col min="10" max="10" style="13221" width="9.8515625" hidden="1" customWidth="1"/>
    <col min="11" max="11" style="13221" width="14.7109375" hidden="1" customWidth="1"/>
    <col min="12" max="12" style="14071" width="19.140625" hidden="1" customWidth="1"/>
    <col min="13" max="14" style="14072" width="12.28125" hidden="1" customWidth="1"/>
    <col min="15" max="15" style="14072" width="23.421875" hidden="1" customWidth="1"/>
    <col min="16" max="16" style="14073" width="3.00390625" customWidth="1"/>
    <col min="17" max="18" style="14074" width="3.00390625" customWidth="1"/>
    <col min="19" max="19" style="14075" width="12.00390625" customWidth="1"/>
    <col min="20" max="20" style="13141" width="35.00390625" customWidth="1"/>
    <col min="21" max="21" style="13141" width="0.140625" customWidth="1"/>
    <col min="22" max="24" style="13141" width="24.7109375" hidden="1" customWidth="1"/>
    <col min="25" max="25" style="13141" width="11.7109375" hidden="1" customWidth="1"/>
    <col min="26" max="26" style="13141" width="3.7109375" hidden="1" customWidth="1"/>
    <col min="27" max="27" style="13141" width="11.7109375" hidden="1" customWidth="1"/>
    <col min="28" max="28" style="13141" width="8.57421875" hidden="1" customWidth="1"/>
    <col min="29" max="29" style="13141" width="24.7109375" customWidth="1"/>
    <col min="30" max="31" style="13141" width="24.00390625" customWidth="1"/>
    <col min="32" max="32" style="13141" width="11.00390625" customWidth="1"/>
    <col min="33" max="33" style="13141" width="3.7109375" customWidth="1"/>
    <col min="34" max="34" style="13141" width="11.00390625" customWidth="1"/>
    <col min="35" max="35" style="13141" width="8.57421875" hidden="1" customWidth="1"/>
    <col min="36" max="36" style="13141" width="4.00390625" customWidth="1"/>
    <col min="37" max="37" style="13141" width="115.00390625" customWidth="1"/>
    <col min="38" max="42" style="13222" width="10.00390625" customWidth="1"/>
    <col min="43" max="43" style="1314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322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229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32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3221"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3221" customFormat="1" customHeight="1" ht="14.25" hidden="1">
      <c r="L19" s="1705"/>
      <c r="M19" s="1589"/>
      <c r="N19" s="1589"/>
      <c r="O19" s="1589"/>
      <c r="P19" s="1589"/>
      <c r="Q19" s="1598"/>
      <c r="R19" s="1598"/>
      <c r="S19" s="956"/>
      <c r="AB19" s="1593"/>
      <c r="AI19" s="1593"/>
      <c r="AL19" s="738"/>
      <c r="AM19" s="738"/>
      <c r="AN19" s="738"/>
      <c r="AO19" s="738"/>
      <c r="AP19" s="738"/>
      <c r="AQ19" s="1387">
        <v>0</v>
      </c>
    </row>
    <row s="13221"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"Уссурийск-Водоканал"</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34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3348"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45408</v>
      </c>
      <c r="W28" s="2491"/>
      <c r="X28" s="2491"/>
      <c r="Y28" s="2491"/>
      <c r="Z28" s="2491"/>
      <c r="AA28" s="2491"/>
      <c r="AB28" s="553"/>
      <c r="AC28" s="2491" t="str">
        <f>IF(TITLE_DATE_PR_CHANGE="",IF(TITLE_DATE_PR="","",TITLE_DATE_PR),TITLE_DATE_PR_CHANGE)</f>
        <v>45408</v>
      </c>
      <c r="AD28" s="2491"/>
      <c r="AE28" s="2491"/>
      <c r="AF28" s="2491"/>
      <c r="AG28" s="2491"/>
      <c r="AH28" s="2491"/>
      <c r="AI28" s="553"/>
      <c r="AJ28" s="553"/>
      <c r="AK28" s="507"/>
      <c r="AL28" s="595"/>
      <c r="AM28" s="595"/>
      <c r="AN28" s="595"/>
      <c r="AO28" s="595"/>
      <c r="AP28" s="595"/>
      <c r="AQ28" s="645">
        <v>0</v>
      </c>
    </row>
    <row s="13348"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27-2085</v>
      </c>
      <c r="W29" s="2478"/>
      <c r="X29" s="2478"/>
      <c r="Y29" s="2478"/>
      <c r="Z29" s="2478"/>
      <c r="AA29" s="2478"/>
      <c r="AB29" s="553"/>
      <c r="AC29" s="2478" t="str">
        <f>IF(TITLE_NUMBER_PR_CHANGE="",IF(TITLE_NUMBER_PR="","",TITLE_NUMBER_PR),TITLE_NUMBER_PR_CHANGE)</f>
        <v>27-2085</v>
      </c>
      <c r="AD29" s="2478"/>
      <c r="AE29" s="2478"/>
      <c r="AF29" s="2478"/>
      <c r="AG29" s="2478"/>
      <c r="AH29" s="2478"/>
      <c r="AI29" s="553"/>
      <c r="AJ29" s="553"/>
      <c r="AK29" s="507"/>
      <c r="AL29" s="595"/>
      <c r="AM29" s="595"/>
      <c r="AN29" s="595"/>
      <c r="AO29" s="595"/>
      <c r="AP29" s="595"/>
      <c r="AQ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348"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45408</v>
      </c>
      <c r="W32" s="2491"/>
      <c r="X32" s="2491"/>
      <c r="Y32" s="2491"/>
      <c r="Z32" s="2491"/>
      <c r="AA32" s="2491"/>
      <c r="AB32" s="553"/>
      <c r="AC32" s="2491" t="str">
        <f>IF(TITLE_DATE_PR_CHANGE="",IF(TITLE_DATE_PR="","",TITLE_DATE_PR),TITLE_DATE_PR_CHANGE)</f>
        <v>45408</v>
      </c>
      <c r="AD32" s="2491"/>
      <c r="AE32" s="2491"/>
      <c r="AF32" s="2491"/>
      <c r="AG32" s="2491"/>
      <c r="AH32" s="2491"/>
      <c r="AI32" s="553"/>
      <c r="AJ32" s="553"/>
      <c r="AK32" s="507"/>
      <c r="AL32" s="595"/>
      <c r="AM32" s="595"/>
      <c r="AN32" s="595"/>
      <c r="AO32" s="595"/>
      <c r="AP32" s="595"/>
      <c r="AQ32" s="645">
        <v>0</v>
      </c>
    </row>
    <row s="13348"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27-2085</v>
      </c>
      <c r="W33" s="2478"/>
      <c r="X33" s="2478"/>
      <c r="Y33" s="2478"/>
      <c r="Z33" s="2478"/>
      <c r="AA33" s="2478"/>
      <c r="AB33" s="553"/>
      <c r="AC33" s="2478" t="str">
        <f>IF(TITLE_NUMBER_PR_CHANGE="",IF(TITLE_NUMBER_PR="","",TITLE_NUMBER_PR),TITLE_NUMBER_PR_CHANGE)</f>
        <v>27-2085</v>
      </c>
      <c r="AD33" s="2478"/>
      <c r="AE33" s="2478"/>
      <c r="AF33" s="2478"/>
      <c r="AG33" s="2478"/>
      <c r="AH33" s="2478"/>
      <c r="AI33" s="553"/>
      <c r="AJ33" s="553"/>
      <c r="AK33" s="507"/>
      <c r="AL33" s="595"/>
      <c r="AM33" s="595"/>
      <c r="AN33" s="595"/>
      <c r="AO33" s="595"/>
      <c r="AP33" s="595"/>
      <c r="AQ33" s="645">
        <v>0</v>
      </c>
    </row>
    <row s="1334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492</v>
      </c>
      <c r="W38" s="2489" t="s">
        <v>438</v>
      </c>
      <c r="X38" s="2490"/>
      <c r="Y38" s="2489" t="s">
        <v>439</v>
      </c>
      <c r="Z38" s="2496"/>
      <c r="AA38" s="2490"/>
      <c r="AB38" s="2505"/>
      <c r="AC38" s="1710" t="s">
        <v>492</v>
      </c>
      <c r="AD38" s="2489" t="s">
        <v>438</v>
      </c>
      <c r="AE38" s="2490"/>
      <c r="AF38" s="2489" t="s">
        <v>439</v>
      </c>
      <c r="AG38" s="2496"/>
      <c r="AH38" s="2490"/>
      <c r="AI38" s="2505"/>
      <c r="AJ38" s="2508"/>
      <c r="AK38" s="2354"/>
      <c r="AQ38" s="1382">
        <v>34</v>
      </c>
    </row>
    <row customHeight="1" ht="90.3">
      <c r="A39" s="1597"/>
      <c r="B39" s="1597" t="s">
        <v>135</v>
      </c>
      <c r="C39" s="1597" t="s">
        <v>136</v>
      </c>
      <c r="D39" s="1597" t="s">
        <v>137</v>
      </c>
      <c r="E39" s="1591" t="s">
        <v>440</v>
      </c>
      <c r="F39" s="1591" t="s">
        <v>441</v>
      </c>
      <c r="G39" s="1591" t="s">
        <v>442</v>
      </c>
      <c r="H39" s="1591"/>
      <c r="I39" s="1591" t="s">
        <v>493</v>
      </c>
      <c r="J39" s="1591" t="s">
        <v>445</v>
      </c>
      <c r="K39" s="1591" t="s">
        <v>494</v>
      </c>
      <c r="L39" s="1591" t="s">
        <v>421</v>
      </c>
      <c r="Q39" s="603"/>
      <c r="R39" s="603"/>
      <c r="S39" s="2500"/>
      <c r="T39" s="2436"/>
      <c r="U39" s="529"/>
      <c r="V39" s="1710" t="s">
        <v>527</v>
      </c>
      <c r="W39" s="1449" t="s">
        <v>528</v>
      </c>
      <c r="X39" s="1449" t="s">
        <v>497</v>
      </c>
      <c r="Y39" s="1716" t="s">
        <v>449</v>
      </c>
      <c r="Z39" s="2497" t="s">
        <v>450</v>
      </c>
      <c r="AA39" s="2498"/>
      <c r="AB39" s="2506"/>
      <c r="AC39" s="1710" t="s">
        <v>527</v>
      </c>
      <c r="AD39" s="1449" t="s">
        <v>528</v>
      </c>
      <c r="AE39" s="1449" t="s">
        <v>497</v>
      </c>
      <c r="AF39" s="1716" t="s">
        <v>449</v>
      </c>
      <c r="AG39" s="2497" t="s">
        <v>450</v>
      </c>
      <c r="AH39" s="2498"/>
      <c r="AI39" s="2506"/>
      <c r="AJ39" s="2509"/>
      <c r="AK39" s="2354"/>
      <c r="AQ39" s="1382">
        <v>86</v>
      </c>
    </row>
    <row s="1382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526</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530</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530</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276</v>
      </c>
      <c r="B46" s="1590" t="s">
        <v>277</v>
      </c>
      <c r="C46" s="1590" t="s">
        <v>278</v>
      </c>
      <c r="D46" s="1590" t="s">
        <v>530</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530</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530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530</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530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3222"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229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3222"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230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322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231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D129B-2543-3B3A-C015-F0BFF4CEDF7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221" width="11.57421875" hidden="1" customWidth="1"/>
    <col min="2" max="2" style="13221" width="11.00390625" hidden="1" customWidth="1"/>
    <col min="3" max="3" style="13221" width="10.57421875" hidden="1"/>
    <col min="4" max="4" style="13221" width="12.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2.00390625" hidden="1" customWidth="1"/>
    <col min="10" max="10" style="13221" width="9.8515625" hidden="1" customWidth="1"/>
    <col min="11" max="11" style="13221" width="11.421875" hidden="1" customWidth="1"/>
    <col min="12" max="12" style="14071" width="19.140625" hidden="1" customWidth="1"/>
    <col min="13" max="14" style="14072" width="12.28125" hidden="1" customWidth="1"/>
    <col min="15" max="15" style="14072" width="23.421875" hidden="1" customWidth="1"/>
    <col min="16" max="16" style="14072" width="3.7109375" hidden="1" customWidth="1"/>
    <col min="17" max="17" style="14258" width="3.7109375" hidden="1" customWidth="1"/>
    <col min="18" max="18" style="14074" width="3.00390625" customWidth="1"/>
    <col min="19" max="19" style="14075" width="12.00390625" customWidth="1"/>
    <col min="20" max="20" style="13141" width="31.00390625" customWidth="1"/>
    <col min="21" max="21" style="13141" width="0.140625" customWidth="1"/>
    <col min="22" max="25" style="13141" width="21.7109375" hidden="1" customWidth="1"/>
    <col min="26" max="26" style="13141" width="11.7109375" hidden="1" customWidth="1"/>
    <col min="27" max="27" style="13141" width="3.7109375" hidden="1" customWidth="1"/>
    <col min="28" max="28" style="13141" width="11.7109375" hidden="1" customWidth="1"/>
    <col min="29" max="29" style="13141" width="8.57421875" hidden="1" customWidth="1"/>
    <col min="30" max="30" style="13141" width="3.7109375" customWidth="1"/>
    <col min="31" max="32" style="13141" width="3.00390625" customWidth="1"/>
    <col min="33" max="33" style="13141" width="24.00390625" customWidth="1"/>
    <col min="34" max="34" style="13141" width="3.7109375" customWidth="1"/>
    <col min="35" max="36" style="13141" width="3.00390625" customWidth="1"/>
    <col min="37" max="37" style="13141" width="24.00390625" customWidth="1"/>
    <col min="38" max="38" style="13141" width="3.7109375" customWidth="1"/>
    <col min="39" max="40" style="13141" width="3.00390625" customWidth="1"/>
    <col min="41" max="41" style="13141" width="18.00390625" customWidth="1"/>
    <col min="42" max="42" style="13141" width="3.7109375" customWidth="1"/>
    <col min="43" max="44" style="13141" width="3.00390625" customWidth="1"/>
    <col min="45" max="45" style="13141" width="18.00390625" customWidth="1"/>
    <col min="46" max="49" style="13141" width="21.00390625" customWidth="1"/>
    <col min="50" max="50" style="13141" width="11.00390625" customWidth="1"/>
    <col min="51" max="51" style="13141" width="3.7109375" customWidth="1"/>
    <col min="52" max="52" style="13141" width="11.00390625" customWidth="1"/>
    <col min="53" max="53" style="13141" width="8.57421875" hidden="1" customWidth="1"/>
    <col min="54" max="54" style="13141" width="4.00390625" customWidth="1"/>
    <col min="55" max="55" style="13141" width="115.00390625" customWidth="1"/>
    <col min="56" max="60" style="13222" width="10.00390625" customWidth="1"/>
    <col min="61" max="61" style="1314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526</v>
      </c>
      <c r="BE4" s="727"/>
      <c r="BF4" s="727" t="str">
        <f>IF(T4="","",T4)</f>
        <v>Наименование централизованной системы водоотведения</v>
      </c>
      <c r="BG4" s="727"/>
      <c r="BH4" s="727"/>
      <c r="BI4" s="1382">
        <v>0</v>
      </c>
    </row>
    <row s="1322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3222"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322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510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511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531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532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322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322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322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322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229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322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230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4229" customFormat="1" customHeight="1" ht="14.25" hidden="1">
      <c r="M24" s="1735"/>
      <c r="N24" s="1735"/>
      <c r="O24" s="1736" t="s">
        <v>421</v>
      </c>
      <c r="P24" s="1735"/>
      <c r="Q24" s="1737"/>
      <c r="R24" s="1737"/>
      <c r="AA24" s="1734" t="s">
        <v>423</v>
      </c>
      <c r="AC24" s="1734" t="s">
        <v>424</v>
      </c>
      <c r="AD24" s="1734" t="s">
        <v>471</v>
      </c>
      <c r="AH24" s="1734" t="s">
        <v>471</v>
      </c>
      <c r="AK24" s="1734" t="s">
        <v>515</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"Уссурийск-Водоканал"</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334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334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45408</v>
      </c>
      <c r="W32" s="2491"/>
      <c r="X32" s="2491"/>
      <c r="Y32" s="2491"/>
      <c r="Z32" s="2491"/>
      <c r="AA32" s="2491"/>
      <c r="AB32" s="2491"/>
      <c r="AC32" s="553"/>
      <c r="AD32" s="2491" t="str">
        <f>IF(TITLE_DATE_PR_CHANGE="",IF(TITLE_DATE_PR="","",TITLE_DATE_PR),TITLE_DATE_PR_CHANGE)</f>
        <v>45408</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334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27-2085</v>
      </c>
      <c r="W33" s="2478"/>
      <c r="X33" s="2478"/>
      <c r="Y33" s="2478"/>
      <c r="Z33" s="2478"/>
      <c r="AA33" s="2478"/>
      <c r="AB33" s="2478"/>
      <c r="AC33" s="553"/>
      <c r="AD33" s="2478" t="str">
        <f>IF(TITLE_NUMBER_PR_CHANGE="",IF(TITLE_NUMBER_PR="","",TITLE_NUMBER_PR),TITLE_NUMBER_PR_CHANGE)</f>
        <v>27-2085</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334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3348"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45408</v>
      </c>
      <c r="W36" s="2491"/>
      <c r="X36" s="2491"/>
      <c r="Y36" s="2491"/>
      <c r="Z36" s="2491"/>
      <c r="AA36" s="2491"/>
      <c r="AB36" s="2491"/>
      <c r="AC36" s="553"/>
      <c r="AD36" s="2491" t="str">
        <f>IF(TITLE_DATE_PR_CHANGE="",IF(TITLE_DATE_PR="","",TITLE_DATE_PR),TITLE_DATE_PR_CHANGE)</f>
        <v>45408</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3348"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27-2085</v>
      </c>
      <c r="W37" s="2478"/>
      <c r="X37" s="2478"/>
      <c r="Y37" s="2478"/>
      <c r="Z37" s="2478"/>
      <c r="AA37" s="2478"/>
      <c r="AB37" s="2478"/>
      <c r="AC37" s="553"/>
      <c r="AD37" s="2478" t="str">
        <f>IF(TITLE_NUMBER_PR_CHANGE="",IF(TITLE_NUMBER_PR="","",TITLE_NUMBER_PR),TITLE_NUMBER_PR_CHANGE)</f>
        <v>27-2085</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334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516</v>
      </c>
      <c r="U41" s="528"/>
      <c r="V41" s="2501" t="s">
        <v>432</v>
      </c>
      <c r="W41" s="2502"/>
      <c r="X41" s="2502"/>
      <c r="Y41" s="2502"/>
      <c r="Z41" s="2502"/>
      <c r="AA41" s="2502"/>
      <c r="AB41" s="2503"/>
      <c r="AC41" s="2504" t="s">
        <v>433</v>
      </c>
      <c r="AD41" s="2555" t="s">
        <v>533</v>
      </c>
      <c r="AE41" s="2518"/>
      <c r="AF41" s="2518"/>
      <c r="AG41" s="2556"/>
      <c r="AH41" s="2555" t="s">
        <v>534</v>
      </c>
      <c r="AI41" s="2518"/>
      <c r="AJ41" s="2518"/>
      <c r="AK41" s="2556"/>
      <c r="AL41" s="2555" t="s">
        <v>535</v>
      </c>
      <c r="AM41" s="2518"/>
      <c r="AN41" s="2518"/>
      <c r="AO41" s="2556"/>
      <c r="AP41" s="2555" t="s">
        <v>520</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521</v>
      </c>
      <c r="W42" s="2420"/>
      <c r="X42" s="2419" t="s">
        <v>522</v>
      </c>
      <c r="Y42" s="2420"/>
      <c r="Z42" s="2521" t="s">
        <v>523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536</v>
      </c>
      <c r="AU42" s="2420"/>
      <c r="AV42" s="2419" t="s">
        <v>537</v>
      </c>
      <c r="AW42" s="2420"/>
      <c r="AX42" s="2521" t="s">
        <v>523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382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526</v>
      </c>
      <c r="BE48" s="727"/>
      <c r="BF48" s="727" t="str">
        <f>IF(T48="","",T48)</f>
        <v>Наименование централизованной системы водоотведения</v>
      </c>
      <c r="BG48" s="727"/>
      <c r="BH48" s="727"/>
      <c r="BI48" s="1382">
        <v>34</v>
      </c>
    </row>
    <row s="13222" customFormat="1" customHeight="1" ht="0">
      <c r="A49" s="1570" t="s">
        <v>281</v>
      </c>
      <c r="B49" s="1570" t="s">
        <v>282</v>
      </c>
      <c r="C49" s="1570" t="s">
        <v>283</v>
      </c>
      <c r="D49" s="1570" t="s">
        <v>538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3222" customFormat="1" customHeight="1" ht="0">
      <c r="A50" s="1570" t="s">
        <v>281</v>
      </c>
      <c r="B50" s="1570" t="s">
        <v>282</v>
      </c>
      <c r="C50" s="1570" t="s">
        <v>283</v>
      </c>
      <c r="D50" s="1570" t="s">
        <v>538</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3222" customFormat="1" customHeight="1" ht="0">
      <c r="A51" s="1570" t="s">
        <v>281</v>
      </c>
      <c r="B51" s="1570" t="s">
        <v>282</v>
      </c>
      <c r="C51" s="1570" t="s">
        <v>283</v>
      </c>
      <c r="D51" s="1570" t="s">
        <v>538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510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511</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531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532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538</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3222" customFormat="1" customHeight="1" ht="0">
      <c r="A58" s="1570" t="s">
        <v>281</v>
      </c>
      <c r="B58" s="1570" t="s">
        <v>282</v>
      </c>
      <c r="C58" s="1570" t="s">
        <v>283</v>
      </c>
      <c r="D58" s="1570" t="s">
        <v>538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3222" customFormat="1" customHeight="1" ht="0">
      <c r="A59" s="1570" t="s">
        <v>281</v>
      </c>
      <c r="B59" s="1570" t="s">
        <v>282</v>
      </c>
      <c r="C59" s="1570" t="s">
        <v>283</v>
      </c>
      <c r="D59" s="1570" t="s">
        <v>538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3222"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3222"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229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3222"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230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322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231</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38DA8-5C21-3AE6-7E94-2B669344F88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4.140625" hidden="1" customWidth="1"/>
    <col min="10" max="10" style="13221" width="9.8515625" hidden="1" customWidth="1"/>
    <col min="11" max="11" style="13221" width="14.7109375" hidden="1" customWidth="1"/>
    <col min="12" max="12" style="14071" width="19.140625" hidden="1" customWidth="1"/>
    <col min="13" max="14" style="14072" width="12.28125" hidden="1" customWidth="1"/>
    <col min="15" max="15" style="14072" width="23.421875" hidden="1" customWidth="1"/>
    <col min="16" max="16" style="14073" width="3.00390625" customWidth="1"/>
    <col min="17" max="18" style="14074" width="3.00390625" customWidth="1"/>
    <col min="19" max="19" style="14075" width="12.00390625" customWidth="1"/>
    <col min="20" max="20" style="13141" width="35.00390625" customWidth="1"/>
    <col min="21" max="21" style="13141" width="0.140625" customWidth="1"/>
    <col min="22" max="28" style="13141" width="19.7109375" hidden="1" customWidth="1"/>
    <col min="29" max="29" style="13141" width="11.7109375" hidden="1" customWidth="1"/>
    <col min="30" max="30" style="13141" width="3.7109375" hidden="1" customWidth="1"/>
    <col min="31" max="31" style="13141" width="11.7109375" hidden="1" customWidth="1"/>
    <col min="32" max="32" style="13141" width="8.57421875" hidden="1" customWidth="1"/>
    <col min="33" max="33" style="13141" width="19.7109375" customWidth="1"/>
    <col min="34" max="39" style="13141" width="19.00390625" customWidth="1"/>
    <col min="40" max="40" style="13141" width="11.00390625" customWidth="1"/>
    <col min="41" max="41" style="13141" width="3.7109375" customWidth="1"/>
    <col min="42" max="42" style="13141" width="11.00390625" customWidth="1"/>
    <col min="43" max="43" style="13141" width="8.57421875" hidden="1" customWidth="1"/>
    <col min="44" max="44" style="13141" width="4.00390625" customWidth="1"/>
    <col min="45" max="45" style="13141" width="115.00390625" customWidth="1"/>
    <col min="46" max="50" style="13222" width="10.00390625" customWidth="1"/>
    <col min="51" max="51" style="13141"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540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322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229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32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3221"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3221"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3221"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МУП "Уссурийск-Водоканал"</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334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3348"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45408</v>
      </c>
      <c r="W28" s="2491"/>
      <c r="X28" s="2491"/>
      <c r="Y28" s="2491"/>
      <c r="Z28" s="2491"/>
      <c r="AA28" s="2491"/>
      <c r="AB28" s="2491"/>
      <c r="AC28" s="2491"/>
      <c r="AD28" s="2491"/>
      <c r="AE28" s="2491"/>
      <c r="AF28" s="553"/>
      <c r="AG28" s="2491" t="str">
        <f>IF(TITLE_DATE_PR_CHANGE="",IF(TITLE_DATE_PR="","",TITLE_DATE_PR),TITLE_DATE_PR_CHANGE)</f>
        <v>45408</v>
      </c>
      <c r="AH28" s="2491"/>
      <c r="AI28" s="2491"/>
      <c r="AJ28" s="2491"/>
      <c r="AK28" s="2491"/>
      <c r="AL28" s="2491"/>
      <c r="AM28" s="2491"/>
      <c r="AN28" s="2491"/>
      <c r="AO28" s="2491"/>
      <c r="AP28" s="2491"/>
      <c r="AQ28" s="553"/>
      <c r="AR28" s="553"/>
      <c r="AS28" s="507"/>
      <c r="AT28" s="595"/>
      <c r="AU28" s="595"/>
      <c r="AV28" s="595"/>
      <c r="AW28" s="595"/>
      <c r="AX28" s="595"/>
      <c r="AY28" s="645">
        <v>0</v>
      </c>
    </row>
    <row s="13348"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27-2085</v>
      </c>
      <c r="W29" s="2478"/>
      <c r="X29" s="2478"/>
      <c r="Y29" s="2478"/>
      <c r="Z29" s="2478"/>
      <c r="AA29" s="2478"/>
      <c r="AB29" s="2478"/>
      <c r="AC29" s="2478"/>
      <c r="AD29" s="2478"/>
      <c r="AE29" s="2478"/>
      <c r="AF29" s="553"/>
      <c r="AG29" s="2478" t="str">
        <f>IF(TITLE_NUMBER_PR_CHANGE="",IF(TITLE_NUMBER_PR="","",TITLE_NUMBER_PR),TITLE_NUMBER_PR_CHANGE)</f>
        <v>27-2085</v>
      </c>
      <c r="AH29" s="2478"/>
      <c r="AI29" s="2478"/>
      <c r="AJ29" s="2478"/>
      <c r="AK29" s="2478"/>
      <c r="AL29" s="2478"/>
      <c r="AM29" s="2478"/>
      <c r="AN29" s="2478"/>
      <c r="AO29" s="2478"/>
      <c r="AP29" s="2478"/>
      <c r="AQ29" s="553"/>
      <c r="AR29" s="553"/>
      <c r="AS29" s="507"/>
      <c r="AT29" s="595"/>
      <c r="AU29" s="595"/>
      <c r="AV29" s="595"/>
      <c r="AW29" s="595"/>
      <c r="AX29" s="595"/>
      <c r="AY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3348"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45408</v>
      </c>
      <c r="W32" s="2491"/>
      <c r="X32" s="2491"/>
      <c r="Y32" s="2491"/>
      <c r="Z32" s="2491"/>
      <c r="AA32" s="2491"/>
      <c r="AB32" s="2491"/>
      <c r="AC32" s="2491"/>
      <c r="AD32" s="2491"/>
      <c r="AE32" s="2491"/>
      <c r="AF32" s="553"/>
      <c r="AG32" s="2491" t="str">
        <f>IF(TITLE_DATE_PR_CHANGE="",IF(TITLE_DATE_PR="","",TITLE_DATE_PR),TITLE_DATE_PR_CHANGE)</f>
        <v>45408</v>
      </c>
      <c r="AH32" s="2491"/>
      <c r="AI32" s="2491"/>
      <c r="AJ32" s="2491"/>
      <c r="AK32" s="2491"/>
      <c r="AL32" s="2491"/>
      <c r="AM32" s="2491"/>
      <c r="AN32" s="2491"/>
      <c r="AO32" s="2491"/>
      <c r="AP32" s="2491"/>
      <c r="AQ32" s="553"/>
      <c r="AR32" s="553"/>
      <c r="AS32" s="507"/>
      <c r="AT32" s="595"/>
      <c r="AU32" s="595"/>
      <c r="AV32" s="595"/>
      <c r="AW32" s="595"/>
      <c r="AX32" s="595"/>
      <c r="AY32" s="645">
        <v>0</v>
      </c>
    </row>
    <row s="13348"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27-2085</v>
      </c>
      <c r="W33" s="2478"/>
      <c r="X33" s="2478"/>
      <c r="Y33" s="2478"/>
      <c r="Z33" s="2478"/>
      <c r="AA33" s="2478"/>
      <c r="AB33" s="2478"/>
      <c r="AC33" s="2478"/>
      <c r="AD33" s="2478"/>
      <c r="AE33" s="2478"/>
      <c r="AF33" s="553"/>
      <c r="AG33" s="2478" t="str">
        <f>IF(TITLE_NUMBER_PR_CHANGE="",IF(TITLE_NUMBER_PR="","",TITLE_NUMBER_PR),TITLE_NUMBER_PR_CHANGE)</f>
        <v>27-2085</v>
      </c>
      <c r="AH33" s="2478"/>
      <c r="AI33" s="2478"/>
      <c r="AJ33" s="2478"/>
      <c r="AK33" s="2478"/>
      <c r="AL33" s="2478"/>
      <c r="AM33" s="2478"/>
      <c r="AN33" s="2478"/>
      <c r="AO33" s="2478"/>
      <c r="AP33" s="2478"/>
      <c r="AQ33" s="553"/>
      <c r="AR33" s="553"/>
      <c r="AS33" s="507"/>
      <c r="AT33" s="595"/>
      <c r="AU33" s="595"/>
      <c r="AV33" s="595"/>
      <c r="AW33" s="595"/>
      <c r="AX33" s="595"/>
      <c r="AY33" s="645">
        <v>0</v>
      </c>
    </row>
    <row s="1334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customHeight="1" ht="19.95">
      <c r="Q38" s="603"/>
      <c r="R38" s="603"/>
      <c r="S38" s="2500"/>
      <c r="T38" s="2436"/>
      <c r="U38" s="1258"/>
      <c r="V38" s="2593" t="s">
        <v>541</v>
      </c>
      <c r="W38" s="2592" t="s">
        <v>542</v>
      </c>
      <c r="X38" s="2592"/>
      <c r="Y38" s="2592"/>
      <c r="Z38" s="2592" t="s">
        <v>543</v>
      </c>
      <c r="AA38" s="2592"/>
      <c r="AB38" s="2592"/>
      <c r="AC38" s="2521" t="s">
        <v>439</v>
      </c>
      <c r="AD38" s="2540"/>
      <c r="AE38" s="2541"/>
      <c r="AF38" s="2505"/>
      <c r="AG38" s="2593" t="s">
        <v>541</v>
      </c>
      <c r="AH38" s="2592" t="s">
        <v>542</v>
      </c>
      <c r="AI38" s="2592"/>
      <c r="AJ38" s="2592"/>
      <c r="AK38" s="2592" t="s">
        <v>543</v>
      </c>
      <c r="AL38" s="2592"/>
      <c r="AM38" s="2592"/>
      <c r="AN38" s="2521" t="s">
        <v>439</v>
      </c>
      <c r="AO38" s="2540"/>
      <c r="AP38" s="2541"/>
      <c r="AQ38" s="2505"/>
      <c r="AR38" s="2508"/>
      <c r="AS38" s="2354"/>
      <c r="AY38" s="1382">
        <v>19</v>
      </c>
    </row>
    <row s="13141"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544</v>
      </c>
      <c r="X39" s="2592" t="s">
        <v>545</v>
      </c>
      <c r="Y39" s="2592"/>
      <c r="Z39" s="2592" t="s">
        <v>546</v>
      </c>
      <c r="AA39" s="2592" t="s">
        <v>545</v>
      </c>
      <c r="AB39" s="2592"/>
      <c r="AC39" s="2522"/>
      <c r="AD39" s="2542"/>
      <c r="AE39" s="2543"/>
      <c r="AF39" s="2505"/>
      <c r="AG39" s="2593"/>
      <c r="AH39" s="2592" t="s">
        <v>544</v>
      </c>
      <c r="AI39" s="2592" t="s">
        <v>545</v>
      </c>
      <c r="AJ39" s="2592"/>
      <c r="AK39" s="2592" t="s">
        <v>546</v>
      </c>
      <c r="AL39" s="2592" t="s">
        <v>545</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440</v>
      </c>
      <c r="F40" s="1591" t="s">
        <v>441</v>
      </c>
      <c r="G40" s="1591" t="s">
        <v>442</v>
      </c>
      <c r="H40" s="1591"/>
      <c r="I40" s="1591" t="s">
        <v>493</v>
      </c>
      <c r="J40" s="1591" t="s">
        <v>445</v>
      </c>
      <c r="K40" s="1591" t="s">
        <v>494</v>
      </c>
      <c r="L40" s="1591" t="s">
        <v>421</v>
      </c>
      <c r="Q40" s="603"/>
      <c r="R40" s="603"/>
      <c r="S40" s="2500"/>
      <c r="T40" s="2436"/>
      <c r="U40" s="529"/>
      <c r="V40" s="2593"/>
      <c r="W40" s="2592"/>
      <c r="X40" s="2210" t="s">
        <v>547</v>
      </c>
      <c r="Y40" s="2210" t="s">
        <v>548</v>
      </c>
      <c r="Z40" s="2592"/>
      <c r="AA40" s="2210" t="s">
        <v>549</v>
      </c>
      <c r="AB40" s="2210" t="s">
        <v>550</v>
      </c>
      <c r="AC40" s="1716" t="s">
        <v>449</v>
      </c>
      <c r="AD40" s="2497" t="s">
        <v>450</v>
      </c>
      <c r="AE40" s="2498"/>
      <c r="AF40" s="2506"/>
      <c r="AG40" s="2593"/>
      <c r="AH40" s="2592"/>
      <c r="AI40" s="2210" t="s">
        <v>547</v>
      </c>
      <c r="AJ40" s="2210" t="s">
        <v>548</v>
      </c>
      <c r="AK40" s="2592"/>
      <c r="AL40" s="2210" t="s">
        <v>549</v>
      </c>
      <c r="AM40" s="2210" t="s">
        <v>550</v>
      </c>
      <c r="AN40" s="1716" t="s">
        <v>449</v>
      </c>
      <c r="AO40" s="2497" t="s">
        <v>450</v>
      </c>
      <c r="AP40" s="2498"/>
      <c r="AQ40" s="2506"/>
      <c r="AR40" s="2509"/>
      <c r="AS40" s="2354"/>
      <c r="AY40" s="1382">
        <v>59</v>
      </c>
    </row>
    <row s="1382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256</v>
      </c>
      <c r="B44" s="1590" t="s">
        <v>257</v>
      </c>
      <c r="C44" s="1590" t="s">
        <v>258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540</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551</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551</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256</v>
      </c>
      <c r="B47" s="1590" t="s">
        <v>257</v>
      </c>
      <c r="C47" s="1590" t="s">
        <v>258</v>
      </c>
      <c r="D47" s="1590" t="s">
        <v>551</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551</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256</v>
      </c>
      <c r="B49" s="1590" t="s">
        <v>257</v>
      </c>
      <c r="C49" s="1590" t="s">
        <v>258</v>
      </c>
      <c r="D49" s="1590" t="s">
        <v>551</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551</v>
      </c>
      <c r="E50" s="2486"/>
      <c r="F50" s="2486"/>
      <c r="G50" s="2486"/>
      <c r="H50" s="2486"/>
      <c r="I50" s="2483"/>
      <c r="J50" s="1590"/>
      <c r="K50" s="1590"/>
      <c r="L50" s="1591"/>
      <c r="P50" s="2484"/>
      <c r="Q50" s="1708"/>
      <c r="R50" s="583"/>
      <c r="S50" s="1505"/>
      <c r="T50" s="592" t="s">
        <v>417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551</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3222" customFormat="1" customHeight="1" ht="0">
      <c r="A52" s="1570" t="s">
        <v>256</v>
      </c>
      <c r="B52" s="1570" t="s">
        <v>257</v>
      </c>
      <c r="C52" s="1541"/>
      <c r="D52" s="1541"/>
      <c r="E52" s="2486"/>
      <c r="F52" s="2485"/>
      <c r="G52" s="1541"/>
      <c r="H52" s="1541"/>
      <c r="I52" s="1541"/>
      <c r="J52" s="1541"/>
      <c r="K52" s="1541"/>
      <c r="L52" s="1721"/>
      <c r="M52" s="1548"/>
      <c r="N52" s="1548"/>
      <c r="P52" s="1543"/>
      <c r="Q52" s="1544"/>
      <c r="R52" s="1543"/>
      <c r="S52" s="1549"/>
      <c r="T52" s="1552" t="s">
        <v>229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3222" customFormat="1" customHeight="1" ht="0">
      <c r="A53" s="1570" t="s">
        <v>256</v>
      </c>
      <c r="B53" s="1570"/>
      <c r="C53" s="1570"/>
      <c r="D53" s="1570"/>
      <c r="E53" s="2485"/>
      <c r="F53" s="1570"/>
      <c r="G53" s="1570"/>
      <c r="H53" s="1570"/>
      <c r="I53" s="1570"/>
      <c r="J53" s="1570"/>
      <c r="K53" s="1570"/>
      <c r="L53" s="1573"/>
      <c r="M53" s="1548"/>
      <c r="N53" s="1548"/>
      <c r="O53" s="745"/>
      <c r="P53" s="607"/>
      <c r="Q53" s="1571"/>
      <c r="R53" s="607"/>
      <c r="S53" s="1549"/>
      <c r="T53" s="1552" t="s">
        <v>230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322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231</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0C9AF-47D1-B418-8E89-2E5DAA44933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4.140625" hidden="1" customWidth="1"/>
    <col min="10" max="10" style="13221" width="9.8515625" hidden="1" customWidth="1"/>
    <col min="11" max="11" style="13221" width="14.7109375" hidden="1" customWidth="1"/>
    <col min="12" max="12" style="14071" width="19.140625" hidden="1" customWidth="1"/>
    <col min="13" max="14" style="14072" width="12.28125" hidden="1" customWidth="1"/>
    <col min="15" max="15" style="14072" width="23.421875" hidden="1" customWidth="1"/>
    <col min="16" max="16" style="14073" width="3.00390625" customWidth="1"/>
    <col min="17" max="18" style="14074" width="3.00390625" customWidth="1"/>
    <col min="19" max="19" style="14075" width="12.00390625" customWidth="1"/>
    <col min="20" max="20" style="13141" width="35.00390625" customWidth="1"/>
    <col min="21" max="21" style="13141" width="0.140625" customWidth="1"/>
    <col min="22" max="28" style="13141" width="19.7109375" hidden="1" customWidth="1"/>
    <col min="29" max="29" style="13141" width="11.7109375" hidden="1" customWidth="1"/>
    <col min="30" max="30" style="13141" width="3.7109375" hidden="1" customWidth="1"/>
    <col min="31" max="31" style="13141" width="11.7109375" hidden="1" customWidth="1"/>
    <col min="32" max="32" style="13141" width="8.57421875" hidden="1" customWidth="1"/>
    <col min="33" max="33" style="13141" width="19.7109375" customWidth="1"/>
    <col min="34" max="39" style="13141" width="19.00390625" customWidth="1"/>
    <col min="40" max="40" style="13141" width="11.00390625" customWidth="1"/>
    <col min="41" max="41" style="13141" width="3.7109375" customWidth="1"/>
    <col min="42" max="42" style="13141" width="11.00390625" customWidth="1"/>
    <col min="43" max="43" style="13141" width="8.57421875" hidden="1" customWidth="1"/>
    <col min="44" max="44" style="13141" width="4.00390625" customWidth="1"/>
    <col min="45" max="45" style="13141" width="115.00390625" customWidth="1"/>
    <col min="46" max="50" style="13222" width="10.00390625" customWidth="1"/>
    <col min="51" max="51" style="13141"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540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322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229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322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3221"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3221"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3221"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МУП "Уссурийск-Водоканал"</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334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3348"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45408</v>
      </c>
      <c r="W28" s="2491"/>
      <c r="X28" s="2491"/>
      <c r="Y28" s="2491"/>
      <c r="Z28" s="2491"/>
      <c r="AA28" s="2491"/>
      <c r="AB28" s="2491"/>
      <c r="AC28" s="2491"/>
      <c r="AD28" s="2491"/>
      <c r="AE28" s="2491"/>
      <c r="AF28" s="553"/>
      <c r="AG28" s="2491" t="str">
        <f>IF(TITLE_DATE_PR_CHANGE="",IF(TITLE_DATE_PR="","",TITLE_DATE_PR),TITLE_DATE_PR_CHANGE)</f>
        <v>45408</v>
      </c>
      <c r="AH28" s="2491"/>
      <c r="AI28" s="2491"/>
      <c r="AJ28" s="2491"/>
      <c r="AK28" s="2491"/>
      <c r="AL28" s="2491"/>
      <c r="AM28" s="2491"/>
      <c r="AN28" s="2491"/>
      <c r="AO28" s="2491"/>
      <c r="AP28" s="2491"/>
      <c r="AQ28" s="553"/>
      <c r="AR28" s="553"/>
      <c r="AS28" s="507"/>
      <c r="AT28" s="595"/>
      <c r="AU28" s="595"/>
      <c r="AV28" s="595"/>
      <c r="AW28" s="595"/>
      <c r="AX28" s="595"/>
      <c r="AY28" s="645">
        <v>0</v>
      </c>
    </row>
    <row s="13348"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27-2085</v>
      </c>
      <c r="W29" s="2478"/>
      <c r="X29" s="2478"/>
      <c r="Y29" s="2478"/>
      <c r="Z29" s="2478"/>
      <c r="AA29" s="2478"/>
      <c r="AB29" s="2478"/>
      <c r="AC29" s="2478"/>
      <c r="AD29" s="2478"/>
      <c r="AE29" s="2478"/>
      <c r="AF29" s="553"/>
      <c r="AG29" s="2478" t="str">
        <f>IF(TITLE_NUMBER_PR_CHANGE="",IF(TITLE_NUMBER_PR="","",TITLE_NUMBER_PR),TITLE_NUMBER_PR_CHANGE)</f>
        <v>27-2085</v>
      </c>
      <c r="AH29" s="2478"/>
      <c r="AI29" s="2478"/>
      <c r="AJ29" s="2478"/>
      <c r="AK29" s="2478"/>
      <c r="AL29" s="2478"/>
      <c r="AM29" s="2478"/>
      <c r="AN29" s="2478"/>
      <c r="AO29" s="2478"/>
      <c r="AP29" s="2478"/>
      <c r="AQ29" s="553"/>
      <c r="AR29" s="553"/>
      <c r="AS29" s="507"/>
      <c r="AT29" s="595"/>
      <c r="AU29" s="595"/>
      <c r="AV29" s="595"/>
      <c r="AW29" s="595"/>
      <c r="AX29" s="595"/>
      <c r="AY29" s="645">
        <v>0</v>
      </c>
    </row>
    <row s="1334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3348"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45408</v>
      </c>
      <c r="W32" s="2491"/>
      <c r="X32" s="2491"/>
      <c r="Y32" s="2491"/>
      <c r="Z32" s="2491"/>
      <c r="AA32" s="2491"/>
      <c r="AB32" s="2491"/>
      <c r="AC32" s="2491"/>
      <c r="AD32" s="2491"/>
      <c r="AE32" s="2491"/>
      <c r="AF32" s="553"/>
      <c r="AG32" s="2491" t="str">
        <f>IF(TITLE_DATE_PR_CHANGE="",IF(TITLE_DATE_PR="","",TITLE_DATE_PR),TITLE_DATE_PR_CHANGE)</f>
        <v>45408</v>
      </c>
      <c r="AH32" s="2491"/>
      <c r="AI32" s="2491"/>
      <c r="AJ32" s="2491"/>
      <c r="AK32" s="2491"/>
      <c r="AL32" s="2491"/>
      <c r="AM32" s="2491"/>
      <c r="AN32" s="2491"/>
      <c r="AO32" s="2491"/>
      <c r="AP32" s="2491"/>
      <c r="AQ32" s="553"/>
      <c r="AR32" s="553"/>
      <c r="AS32" s="507"/>
      <c r="AT32" s="595"/>
      <c r="AU32" s="595"/>
      <c r="AV32" s="595"/>
      <c r="AW32" s="595"/>
      <c r="AX32" s="595"/>
      <c r="AY32" s="645">
        <v>0</v>
      </c>
    </row>
    <row s="13348"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27-2085</v>
      </c>
      <c r="W33" s="2478"/>
      <c r="X33" s="2478"/>
      <c r="Y33" s="2478"/>
      <c r="Z33" s="2478"/>
      <c r="AA33" s="2478"/>
      <c r="AB33" s="2478"/>
      <c r="AC33" s="2478"/>
      <c r="AD33" s="2478"/>
      <c r="AE33" s="2478"/>
      <c r="AF33" s="553"/>
      <c r="AG33" s="2478" t="str">
        <f>IF(TITLE_NUMBER_PR_CHANGE="",IF(TITLE_NUMBER_PR="","",TITLE_NUMBER_PR),TITLE_NUMBER_PR_CHANGE)</f>
        <v>27-2085</v>
      </c>
      <c r="AH33" s="2478"/>
      <c r="AI33" s="2478"/>
      <c r="AJ33" s="2478"/>
      <c r="AK33" s="2478"/>
      <c r="AL33" s="2478"/>
      <c r="AM33" s="2478"/>
      <c r="AN33" s="2478"/>
      <c r="AO33" s="2478"/>
      <c r="AP33" s="2478"/>
      <c r="AQ33" s="553"/>
      <c r="AR33" s="553"/>
      <c r="AS33" s="507"/>
      <c r="AT33" s="595"/>
      <c r="AU33" s="595"/>
      <c r="AV33" s="595"/>
      <c r="AW33" s="595"/>
      <c r="AX33" s="595"/>
      <c r="AY33" s="645">
        <v>0</v>
      </c>
    </row>
    <row s="1334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3141"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541</v>
      </c>
      <c r="W38" s="2592" t="s">
        <v>542</v>
      </c>
      <c r="X38" s="2592"/>
      <c r="Y38" s="2592"/>
      <c r="Z38" s="2592" t="s">
        <v>543</v>
      </c>
      <c r="AA38" s="2592"/>
      <c r="AB38" s="2592"/>
      <c r="AC38" s="2521" t="s">
        <v>439</v>
      </c>
      <c r="AD38" s="2540"/>
      <c r="AE38" s="2541"/>
      <c r="AF38" s="2505"/>
      <c r="AG38" s="2593" t="s">
        <v>541</v>
      </c>
      <c r="AH38" s="2592" t="s">
        <v>542</v>
      </c>
      <c r="AI38" s="2592"/>
      <c r="AJ38" s="2592"/>
      <c r="AK38" s="2592" t="s">
        <v>543</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544</v>
      </c>
      <c r="X39" s="2592" t="s">
        <v>545</v>
      </c>
      <c r="Y39" s="2592"/>
      <c r="Z39" s="2592" t="s">
        <v>546</v>
      </c>
      <c r="AA39" s="2592" t="s">
        <v>545</v>
      </c>
      <c r="AB39" s="2592"/>
      <c r="AC39" s="2522"/>
      <c r="AD39" s="2542"/>
      <c r="AE39" s="2543"/>
      <c r="AF39" s="2505"/>
      <c r="AG39" s="2593"/>
      <c r="AH39" s="2592" t="s">
        <v>544</v>
      </c>
      <c r="AI39" s="2592" t="s">
        <v>545</v>
      </c>
      <c r="AJ39" s="2592"/>
      <c r="AK39" s="2592" t="s">
        <v>546</v>
      </c>
      <c r="AL39" s="2592" t="s">
        <v>545</v>
      </c>
      <c r="AM39" s="2592"/>
      <c r="AN39" s="2522"/>
      <c r="AO39" s="2542"/>
      <c r="AP39" s="2543"/>
      <c r="AQ39" s="2505"/>
      <c r="AR39" s="2508"/>
      <c r="AS39" s="2354"/>
      <c r="AY39" s="1382">
        <v>19</v>
      </c>
    </row>
    <row customHeight="1" ht="61.949999999999996">
      <c r="A40" s="1597"/>
      <c r="B40" s="1597" t="s">
        <v>135</v>
      </c>
      <c r="C40" s="1597" t="s">
        <v>136</v>
      </c>
      <c r="D40" s="1597" t="s">
        <v>137</v>
      </c>
      <c r="E40" s="1591" t="s">
        <v>440</v>
      </c>
      <c r="F40" s="1591" t="s">
        <v>441</v>
      </c>
      <c r="G40" s="1591" t="s">
        <v>442</v>
      </c>
      <c r="H40" s="1591"/>
      <c r="I40" s="1591" t="s">
        <v>493</v>
      </c>
      <c r="J40" s="1591" t="s">
        <v>445</v>
      </c>
      <c r="K40" s="1591" t="s">
        <v>494</v>
      </c>
      <c r="L40" s="1591" t="s">
        <v>421</v>
      </c>
      <c r="Q40" s="603"/>
      <c r="R40" s="603"/>
      <c r="S40" s="2500"/>
      <c r="T40" s="2436"/>
      <c r="U40" s="529"/>
      <c r="V40" s="2593"/>
      <c r="W40" s="2592"/>
      <c r="X40" s="2210" t="s">
        <v>547</v>
      </c>
      <c r="Y40" s="2210" t="s">
        <v>548</v>
      </c>
      <c r="Z40" s="2592"/>
      <c r="AA40" s="2210" t="s">
        <v>549</v>
      </c>
      <c r="AB40" s="2210" t="s">
        <v>550</v>
      </c>
      <c r="AC40" s="1716" t="s">
        <v>449</v>
      </c>
      <c r="AD40" s="2497" t="s">
        <v>450</v>
      </c>
      <c r="AE40" s="2498"/>
      <c r="AF40" s="2506"/>
      <c r="AG40" s="2593"/>
      <c r="AH40" s="2592"/>
      <c r="AI40" s="2210" t="s">
        <v>547</v>
      </c>
      <c r="AJ40" s="2210" t="s">
        <v>548</v>
      </c>
      <c r="AK40" s="2592"/>
      <c r="AL40" s="2210" t="s">
        <v>549</v>
      </c>
      <c r="AM40" s="2210" t="s">
        <v>550</v>
      </c>
      <c r="AN40" s="1716" t="s">
        <v>449</v>
      </c>
      <c r="AO40" s="2497" t="s">
        <v>450</v>
      </c>
      <c r="AP40" s="2498"/>
      <c r="AQ40" s="2506"/>
      <c r="AR40" s="2509"/>
      <c r="AS40" s="2354"/>
      <c r="AY40" s="1382">
        <v>59</v>
      </c>
    </row>
    <row s="1382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261</v>
      </c>
      <c r="B43" s="1590" t="s">
        <v>262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261</v>
      </c>
      <c r="B44" s="1590" t="s">
        <v>262</v>
      </c>
      <c r="C44" s="1590" t="s">
        <v>263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540</v>
      </c>
      <c r="AU44" s="727"/>
      <c r="AV44" s="727" t="str">
        <f>IF(T44="","",T44)</f>
        <v>Наименование централизованной системы горячего водоснабжения</v>
      </c>
      <c r="AW44" s="727"/>
      <c r="AX44" s="727"/>
      <c r="AY44" s="1382">
        <v>23</v>
      </c>
    </row>
    <row customHeight="1" ht="24">
      <c r="A45" s="1590" t="s">
        <v>261</v>
      </c>
      <c r="B45" s="1590" t="s">
        <v>262</v>
      </c>
      <c r="C45" s="1590" t="s">
        <v>263</v>
      </c>
      <c r="D45" s="1590" t="s">
        <v>552</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261</v>
      </c>
      <c r="B46" s="1590" t="s">
        <v>262</v>
      </c>
      <c r="C46" s="1590" t="s">
        <v>263</v>
      </c>
      <c r="D46" s="1590" t="s">
        <v>552</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261</v>
      </c>
      <c r="B47" s="1590" t="s">
        <v>262</v>
      </c>
      <c r="C47" s="1590" t="s">
        <v>263</v>
      </c>
      <c r="D47" s="1590" t="s">
        <v>552</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261</v>
      </c>
      <c r="B48" s="1590" t="s">
        <v>262</v>
      </c>
      <c r="C48" s="1590" t="s">
        <v>263</v>
      </c>
      <c r="D48" s="1590" t="s">
        <v>552</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261</v>
      </c>
      <c r="B49" s="1590" t="s">
        <v>262</v>
      </c>
      <c r="C49" s="1590" t="s">
        <v>263</v>
      </c>
      <c r="D49" s="1590" t="s">
        <v>552</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261</v>
      </c>
      <c r="B50" s="1590" t="s">
        <v>262</v>
      </c>
      <c r="C50" s="1590" t="s">
        <v>263</v>
      </c>
      <c r="D50" s="1590" t="s">
        <v>552</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261</v>
      </c>
      <c r="B51" s="1590" t="s">
        <v>262</v>
      </c>
      <c r="C51" s="1590" t="s">
        <v>263</v>
      </c>
      <c r="D51" s="1590" t="s">
        <v>552</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3222" customFormat="1" customHeight="1" ht="0">
      <c r="A52" s="1570" t="s">
        <v>261</v>
      </c>
      <c r="B52" s="1570" t="s">
        <v>262</v>
      </c>
      <c r="C52" s="1541"/>
      <c r="D52" s="1541"/>
      <c r="E52" s="2486"/>
      <c r="F52" s="2485"/>
      <c r="G52" s="1541"/>
      <c r="H52" s="1541"/>
      <c r="I52" s="1541"/>
      <c r="J52" s="1541"/>
      <c r="K52" s="1541"/>
      <c r="L52" s="1721"/>
      <c r="M52" s="1548"/>
      <c r="N52" s="1548"/>
      <c r="P52" s="1543"/>
      <c r="Q52" s="1544"/>
      <c r="R52" s="1543"/>
      <c r="S52" s="1549"/>
      <c r="T52" s="1552" t="s">
        <v>229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3222" customFormat="1" customHeight="1" ht="0">
      <c r="A53" s="1570" t="s">
        <v>261</v>
      </c>
      <c r="B53" s="1570"/>
      <c r="C53" s="1570"/>
      <c r="D53" s="1570"/>
      <c r="E53" s="2485"/>
      <c r="F53" s="1570"/>
      <c r="G53" s="1570"/>
      <c r="H53" s="1570"/>
      <c r="I53" s="1570"/>
      <c r="J53" s="1570"/>
      <c r="K53" s="1570"/>
      <c r="L53" s="1573"/>
      <c r="M53" s="1548"/>
      <c r="N53" s="1548"/>
      <c r="O53" s="745"/>
      <c r="P53" s="607"/>
      <c r="Q53" s="1571"/>
      <c r="R53" s="607"/>
      <c r="S53" s="1549"/>
      <c r="T53" s="1552" t="s">
        <v>230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322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231</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78386-C3F9-2B77-1F9E-6D85BD374C9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221" width="11.57421875" hidden="1" customWidth="1"/>
    <col min="2" max="2" style="13221" width="11.00390625" hidden="1" customWidth="1"/>
    <col min="3" max="3" style="13221" width="10.57421875" hidden="1"/>
    <col min="4" max="4" style="13221" width="12.8515625" hidden="1" customWidth="1"/>
    <col min="5" max="5" style="13221" width="10.00390625" hidden="1" customWidth="1"/>
    <col min="6" max="6" style="13221" width="8.7109375" hidden="1" customWidth="1"/>
    <col min="7" max="7" style="13221" width="7.57421875" hidden="1" customWidth="1"/>
    <col min="8" max="8" style="13221" width="11.421875" hidden="1" customWidth="1"/>
    <col min="9" max="9" style="13221" width="12.00390625" hidden="1" customWidth="1"/>
    <col min="10" max="10" style="13221" width="9.8515625" hidden="1" customWidth="1"/>
    <col min="11" max="11" style="13221" width="11.421875" hidden="1" customWidth="1"/>
    <col min="12" max="12" style="14071" width="19.140625" hidden="1" customWidth="1"/>
    <col min="13" max="14" style="14072" width="12.28125" hidden="1" customWidth="1"/>
    <col min="15" max="15" style="14072" width="23.421875" hidden="1" customWidth="1"/>
    <col min="16" max="16" style="14072" width="3.7109375" hidden="1" customWidth="1"/>
    <col min="17" max="17" style="14258" width="3.7109375" hidden="1" customWidth="1"/>
    <col min="18" max="18" style="14074" width="3.00390625" customWidth="1"/>
    <col min="19" max="19" style="14075" width="12.00390625" customWidth="1"/>
    <col min="20" max="20" style="13141" width="31.00390625" customWidth="1"/>
    <col min="21" max="21" style="13141" width="0.140625" customWidth="1"/>
    <col min="22" max="25" style="13141" width="21.7109375" hidden="1" customWidth="1"/>
    <col min="26" max="26" style="13141" width="11.7109375" hidden="1" customWidth="1"/>
    <col min="27" max="27" style="13141" width="3.7109375" hidden="1" customWidth="1"/>
    <col min="28" max="28" style="13141" width="11.7109375" hidden="1" customWidth="1"/>
    <col min="29" max="29" style="13141" width="8.57421875" hidden="1" customWidth="1"/>
    <col min="30" max="30" style="13141" width="3.7109375" customWidth="1"/>
    <col min="31" max="32" style="13141" width="3.00390625" customWidth="1"/>
    <col min="33" max="33" style="13141" width="24.00390625" customWidth="1"/>
    <col min="34" max="34" style="13141" width="3.7109375" customWidth="1"/>
    <col min="35" max="36" style="13141" width="3.00390625" customWidth="1"/>
    <col min="37" max="37" style="13141" width="24.00390625" customWidth="1"/>
    <col min="38" max="38" style="13141" width="3.7109375" customWidth="1"/>
    <col min="39" max="40" style="13141" width="3.00390625" customWidth="1"/>
    <col min="41" max="41" style="13141" width="18.00390625" customWidth="1"/>
    <col min="42" max="42" style="13141" width="3.7109375" customWidth="1"/>
    <col min="43" max="44" style="13141" width="3.00390625" customWidth="1"/>
    <col min="45" max="45" style="13141" width="18.00390625" customWidth="1"/>
    <col min="46" max="49" style="13141" width="21.00390625" customWidth="1"/>
    <col min="50" max="50" style="13141" width="11.00390625" customWidth="1"/>
    <col min="51" max="51" style="13141" width="3.7109375" customWidth="1"/>
    <col min="52" max="52" style="13141" width="11.00390625" customWidth="1"/>
    <col min="53" max="53" style="13141" width="8.57421875" hidden="1" customWidth="1"/>
    <col min="54" max="54" style="13141" width="4.00390625" customWidth="1"/>
    <col min="55" max="55" style="13141" width="115.00390625" customWidth="1"/>
    <col min="56" max="60" style="13222" width="10.00390625" customWidth="1"/>
    <col min="61" max="61" style="1314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540</v>
      </c>
      <c r="BE4" s="727"/>
      <c r="BF4" s="727" t="str">
        <f>IF(T4="","",T4)</f>
        <v>Наименование централизованной системы горячего водоснабжения</v>
      </c>
      <c r="BG4" s="727"/>
      <c r="BH4" s="727"/>
      <c r="BI4" s="1382">
        <v>0</v>
      </c>
    </row>
    <row s="1322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3222"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322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510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511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322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322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322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322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229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322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230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4229" customFormat="1" customHeight="1" ht="14.25" hidden="1">
      <c r="M24" s="1735"/>
      <c r="N24" s="1735"/>
      <c r="O24" s="1736" t="s">
        <v>421</v>
      </c>
      <c r="P24" s="1735"/>
      <c r="Q24" s="1737"/>
      <c r="R24" s="1737"/>
      <c r="AA24" s="1734" t="s">
        <v>423</v>
      </c>
      <c r="AC24" s="1734" t="s">
        <v>424</v>
      </c>
      <c r="AD24" s="1734" t="s">
        <v>471</v>
      </c>
      <c r="AH24" s="1734" t="s">
        <v>471</v>
      </c>
      <c r="AK24" s="1734" t="s">
        <v>515</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"Уссурийск-Водоканал"</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334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334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45408</v>
      </c>
      <c r="W32" s="2491"/>
      <c r="X32" s="2491"/>
      <c r="Y32" s="2491"/>
      <c r="Z32" s="2491"/>
      <c r="AA32" s="2491"/>
      <c r="AB32" s="2491"/>
      <c r="AC32" s="553"/>
      <c r="AD32" s="2491" t="str">
        <f>IF(TITLE_DATE_PR_CHANGE="",IF(TITLE_DATE_PR="","",TITLE_DATE_PR),TITLE_DATE_PR_CHANGE)</f>
        <v>45408</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334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27-2085</v>
      </c>
      <c r="W33" s="2478"/>
      <c r="X33" s="2478"/>
      <c r="Y33" s="2478"/>
      <c r="Z33" s="2478"/>
      <c r="AA33" s="2478"/>
      <c r="AB33" s="2478"/>
      <c r="AC33" s="553"/>
      <c r="AD33" s="2478" t="str">
        <f>IF(TITLE_NUMBER_PR_CHANGE="",IF(TITLE_NUMBER_PR="","",TITLE_NUMBER_PR),TITLE_NUMBER_PR_CHANGE)</f>
        <v>27-2085</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334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3348"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45408</v>
      </c>
      <c r="W36" s="2491"/>
      <c r="X36" s="2491"/>
      <c r="Y36" s="2491"/>
      <c r="Z36" s="2491"/>
      <c r="AA36" s="2491"/>
      <c r="AB36" s="2491"/>
      <c r="AC36" s="553"/>
      <c r="AD36" s="2491" t="str">
        <f>IF(TITLE_DATE_PR_CHANGE="",IF(TITLE_DATE_PR="","",TITLE_DATE_PR),TITLE_DATE_PR_CHANGE)</f>
        <v>45408</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3348"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27-2085</v>
      </c>
      <c r="W37" s="2478"/>
      <c r="X37" s="2478"/>
      <c r="Y37" s="2478"/>
      <c r="Z37" s="2478"/>
      <c r="AA37" s="2478"/>
      <c r="AB37" s="2478"/>
      <c r="AC37" s="553"/>
      <c r="AD37" s="2478" t="str">
        <f>IF(TITLE_NUMBER_PR_CHANGE="",IF(TITLE_NUMBER_PR="","",TITLE_NUMBER_PR),TITLE_NUMBER_PR_CHANGE)</f>
        <v>27-2085</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334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516</v>
      </c>
      <c r="U41" s="528"/>
      <c r="V41" s="2501" t="s">
        <v>432</v>
      </c>
      <c r="W41" s="2502"/>
      <c r="X41" s="2502"/>
      <c r="Y41" s="2502"/>
      <c r="Z41" s="2502"/>
      <c r="AA41" s="2502"/>
      <c r="AB41" s="2503"/>
      <c r="AC41" s="2504" t="s">
        <v>433</v>
      </c>
      <c r="AD41" s="2555" t="s">
        <v>517</v>
      </c>
      <c r="AE41" s="2518"/>
      <c r="AF41" s="2518"/>
      <c r="AG41" s="2556"/>
      <c r="AH41" s="2555" t="s">
        <v>518</v>
      </c>
      <c r="AI41" s="2518"/>
      <c r="AJ41" s="2518"/>
      <c r="AK41" s="2556"/>
      <c r="AL41" s="2555" t="s">
        <v>519</v>
      </c>
      <c r="AM41" s="2518"/>
      <c r="AN41" s="2518"/>
      <c r="AO41" s="2556"/>
      <c r="AP41" s="2555" t="s">
        <v>520</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521</v>
      </c>
      <c r="W42" s="2420"/>
      <c r="X42" s="2419" t="s">
        <v>522</v>
      </c>
      <c r="Y42" s="2420"/>
      <c r="Z42" s="2521" t="s">
        <v>523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521</v>
      </c>
      <c r="AU42" s="2420"/>
      <c r="AV42" s="2419" t="s">
        <v>522</v>
      </c>
      <c r="AW42" s="2420"/>
      <c r="AX42" s="2521" t="s">
        <v>523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3827"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540</v>
      </c>
      <c r="BE48" s="727"/>
      <c r="BF48" s="727" t="str">
        <f>IF(T48="","",T48)</f>
        <v>Наименование централизованной системы горячего водоснабжения</v>
      </c>
      <c r="BG48" s="727"/>
      <c r="BH48" s="727"/>
      <c r="BI48" s="1382">
        <v>34</v>
      </c>
    </row>
    <row s="13222" customFormat="1" customHeight="1" ht="0">
      <c r="A49" s="1570" t="s">
        <v>266</v>
      </c>
      <c r="B49" s="1570" t="s">
        <v>267</v>
      </c>
      <c r="C49" s="1570" t="s">
        <v>268</v>
      </c>
      <c r="D49" s="1570" t="s">
        <v>553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3222" customFormat="1" customHeight="1" ht="0">
      <c r="A50" s="1570" t="s">
        <v>266</v>
      </c>
      <c r="B50" s="1570" t="s">
        <v>267</v>
      </c>
      <c r="C50" s="1570" t="s">
        <v>268</v>
      </c>
      <c r="D50" s="1570" t="s">
        <v>553</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3222" customFormat="1" customHeight="1" ht="0">
      <c r="A51" s="1570" t="s">
        <v>266</v>
      </c>
      <c r="B51" s="1570" t="s">
        <v>267</v>
      </c>
      <c r="C51" s="1570" t="s">
        <v>268</v>
      </c>
      <c r="D51" s="1570" t="s">
        <v>553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553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510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511</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553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553</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3222" customFormat="1" customHeight="1" ht="0">
      <c r="A58" s="1570" t="s">
        <v>266</v>
      </c>
      <c r="B58" s="1570" t="s">
        <v>267</v>
      </c>
      <c r="C58" s="1570" t="s">
        <v>268</v>
      </c>
      <c r="D58" s="1570" t="s">
        <v>553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3222" customFormat="1" customHeight="1" ht="0">
      <c r="A59" s="1570" t="s">
        <v>266</v>
      </c>
      <c r="B59" s="1570" t="s">
        <v>267</v>
      </c>
      <c r="C59" s="1570" t="s">
        <v>268</v>
      </c>
      <c r="D59" s="1570" t="s">
        <v>553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3222" customFormat="1" customHeight="1" ht="0">
      <c r="A60" s="1570" t="s">
        <v>266</v>
      </c>
      <c r="B60" s="1570" t="s">
        <v>267</v>
      </c>
      <c r="C60" s="1570" t="s">
        <v>268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3222" customFormat="1" customHeight="1" ht="0">
      <c r="A61" s="1570" t="s">
        <v>266</v>
      </c>
      <c r="B61" s="1570" t="s">
        <v>267</v>
      </c>
      <c r="C61" s="1541"/>
      <c r="D61" s="1541"/>
      <c r="E61" s="2486"/>
      <c r="F61" s="2485"/>
      <c r="G61" s="1541"/>
      <c r="H61" s="1541"/>
      <c r="I61" s="1541"/>
      <c r="J61" s="1541"/>
      <c r="K61" s="1541"/>
      <c r="L61" s="1721"/>
      <c r="M61" s="1548"/>
      <c r="N61" s="1548"/>
      <c r="P61" s="1543"/>
      <c r="Q61" s="1544"/>
      <c r="R61" s="1543"/>
      <c r="S61" s="1549"/>
      <c r="T61" s="1552" t="s">
        <v>229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3222"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230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322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231</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F41A5-F473-E414-7F0F-E7FBDBAFD84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5287" width="10.7109375" hidden="1" customWidth="1"/>
    <col min="2" max="2" style="13221" width="16.8515625" hidden="1" customWidth="1"/>
    <col min="3" max="3" style="13222" width="5.57421875" hidden="1" customWidth="1"/>
    <col min="4" max="4" style="13141" width="3.00390625" customWidth="1"/>
    <col min="5" max="5" style="13141" width="7.00390625" customWidth="1"/>
    <col min="6" max="6" style="13141" width="54.00390625" customWidth="1"/>
    <col min="7" max="7" style="13141" width="10.00390625" customWidth="1"/>
    <col min="8" max="8" style="13141" width="40.7109375" hidden="1" customWidth="1"/>
    <col min="9" max="9" style="13141" width="40.7109375" customWidth="1"/>
    <col min="10" max="10" style="13141" width="102.00390625" customWidth="1"/>
    <col min="11" max="11" style="13221" width="9.00390625" customWidth="1"/>
    <col min="12" max="12" style="13222" width="5.00390625" customWidth="1"/>
    <col min="13" max="13" style="13222" width="3.00390625" customWidth="1"/>
    <col min="14" max="17" style="13221" width="3.00390625" customWidth="1"/>
    <col min="18" max="18" style="13222" width="10.00390625" customWidth="1"/>
    <col min="19" max="19" style="13221" width="34.00390625" customWidth="1"/>
    <col min="20" max="20" style="13221" width="9.00390625" customWidth="1"/>
    <col min="21" max="21" style="15288" width="8.00390625" customWidth="1"/>
    <col min="22" max="26" style="13221" width="8.00390625" customWidth="1"/>
    <col min="27" max="31" style="13105" width="8.00390625" customWidth="1"/>
    <col min="32" max="32" style="13141" width="9.140625" hidden="1"/>
  </cols>
  <sheetData>
    <row customHeight="1" ht="22.5" hidden="1">
      <c r="AF1" s="1858" t="s">
        <v>14</v>
      </c>
    </row>
    <row customHeight="1" ht="23.25" hidden="1">
      <c r="B2" s="2326"/>
      <c r="C2" s="1394" t="s">
        <v>554</v>
      </c>
      <c r="D2" s="1865"/>
      <c r="E2" s="773">
        <f>B2</f>
        <v>0</v>
      </c>
      <c r="F2" s="774"/>
      <c r="G2" s="1873" t="s">
        <v>555</v>
      </c>
      <c r="H2" s="1873" t="s">
        <v>555</v>
      </c>
      <c r="I2" s="1873" t="s">
        <v>555</v>
      </c>
      <c r="J2" s="516" t="s">
        <v>556</v>
      </c>
      <c r="K2" s="770"/>
      <c r="AF2" s="1858">
        <v>0</v>
      </c>
    </row>
    <row s="13222" customFormat="1" customHeight="1" ht="0.75" hidden="1">
      <c r="B3" s="2326"/>
      <c r="C3" s="1394"/>
      <c r="D3" s="775"/>
      <c r="E3" s="776"/>
      <c r="F3" s="777" t="s">
        <v>557</v>
      </c>
      <c r="G3" s="778"/>
      <c r="H3" s="778">
        <f>H4*H5+H7</f>
        <v>0</v>
      </c>
      <c r="I3" s="778">
        <f>I4*I5+I6</f>
        <v>0</v>
      </c>
      <c r="J3" s="779"/>
      <c r="AF3" s="1863">
        <v>0</v>
      </c>
    </row>
    <row customHeight="1" ht="23.25" hidden="1">
      <c r="B4" s="2326"/>
      <c r="C4" s="1394"/>
      <c r="D4" s="1865"/>
      <c r="E4" s="773" t="str">
        <f>B2&amp;".1"</f>
        <v>.1</v>
      </c>
      <c r="F4" s="780" t="s">
        <v>558</v>
      </c>
      <c r="G4" s="781"/>
      <c r="H4" s="768"/>
      <c r="I4" s="768"/>
      <c r="J4" s="516" t="s">
        <v>559</v>
      </c>
      <c r="K4" s="770"/>
      <c r="AF4" s="1858">
        <v>0</v>
      </c>
    </row>
    <row customHeight="1" ht="18.75" hidden="1">
      <c r="B5" s="2326"/>
      <c r="C5" s="1394"/>
      <c r="D5" s="1865"/>
      <c r="E5" s="773" t="str">
        <f>B2&amp;".2"</f>
        <v>.2</v>
      </c>
      <c r="F5" s="780" t="s">
        <v>560</v>
      </c>
      <c r="G5" s="1873" t="s">
        <v>561</v>
      </c>
      <c r="H5" s="768"/>
      <c r="I5" s="768"/>
      <c r="J5" s="516"/>
      <c r="K5" s="770"/>
      <c r="AF5" s="1858">
        <v>0</v>
      </c>
    </row>
    <row customHeight="1" ht="18.75" hidden="1">
      <c r="B6" s="2326"/>
      <c r="C6" s="1394"/>
      <c r="D6" s="1865"/>
      <c r="E6" s="773" t="str">
        <f>B2&amp;".3"</f>
        <v>.3</v>
      </c>
      <c r="F6" s="780" t="s">
        <v>562</v>
      </c>
      <c r="G6" s="1873" t="s">
        <v>561</v>
      </c>
      <c r="H6" s="768"/>
      <c r="I6" s="768"/>
      <c r="J6" s="516"/>
      <c r="K6" s="770"/>
      <c r="AF6" s="1858">
        <v>0</v>
      </c>
    </row>
    <row customHeight="1" ht="18.75" hidden="1">
      <c r="B7" s="2326"/>
      <c r="C7" s="1394"/>
      <c r="D7" s="1865"/>
      <c r="E7" s="773" t="str">
        <f>B2&amp;".4"</f>
        <v>.4</v>
      </c>
      <c r="F7" s="780" t="s">
        <v>563</v>
      </c>
      <c r="G7" s="1873" t="s">
        <v>555</v>
      </c>
      <c r="H7" s="782"/>
      <c r="I7" s="782"/>
      <c r="J7" s="516"/>
      <c r="K7" s="770"/>
      <c r="AF7" s="1858">
        <v>0</v>
      </c>
    </row>
    <row s="13221" customFormat="1" customHeight="1" ht="11.25" hidden="1">
      <c r="A8" s="1214"/>
      <c r="C8" s="1863"/>
      <c r="D8" s="764"/>
      <c r="H8" s="1387">
        <v>4</v>
      </c>
      <c r="I8" s="1387">
        <v>4</v>
      </c>
      <c r="L8" s="1863"/>
      <c r="M8" s="1863"/>
      <c r="R8" s="1863"/>
      <c r="AF8" s="1387">
        <v>0</v>
      </c>
    </row>
    <row s="13221" customFormat="1" customHeight="1" ht="22.5" hidden="1">
      <c r="A9" s="1214"/>
      <c r="C9" s="1863"/>
      <c r="D9" s="765"/>
      <c r="E9" s="1875"/>
      <c r="F9" s="767"/>
      <c r="G9" s="1873" t="s">
        <v>561</v>
      </c>
      <c r="H9" s="768"/>
      <c r="I9" s="768"/>
      <c r="J9" s="769" t="s">
        <v>564</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565</v>
      </c>
      <c r="H11" s="768"/>
      <c r="I11" s="768"/>
      <c r="J11" s="516" t="s">
        <v>566</v>
      </c>
      <c r="K11" s="770"/>
      <c r="AF11" s="1858">
        <v>0</v>
      </c>
    </row>
    <row customHeight="1" ht="11.25" hidden="1">
      <c r="AF12" s="1858">
        <v>0</v>
      </c>
    </row>
    <row customHeight="1" ht="22.5" hidden="1">
      <c r="D13" s="1865"/>
      <c r="E13" s="773"/>
      <c r="F13" s="767"/>
      <c r="G13" s="1196" t="s">
        <v>567</v>
      </c>
      <c r="H13" s="772"/>
      <c r="I13" s="772"/>
      <c r="J13" s="972" t="s">
        <v>568</v>
      </c>
      <c r="K13" s="770"/>
      <c r="AF13" s="1858">
        <v>0</v>
      </c>
    </row>
    <row customHeight="1" ht="11.25" hidden="1">
      <c r="AF14" s="1858">
        <v>0</v>
      </c>
    </row>
    <row customHeight="1" ht="22.5" hidden="1">
      <c r="D15" s="1865"/>
      <c r="E15" s="773"/>
      <c r="F15" s="767"/>
      <c r="G15" s="1873" t="s">
        <v>569</v>
      </c>
      <c r="H15" s="772"/>
      <c r="I15" s="772"/>
      <c r="J15" s="516" t="s">
        <v>570</v>
      </c>
      <c r="K15" s="770"/>
      <c r="AF15" s="1858">
        <v>0</v>
      </c>
    </row>
    <row customHeight="1" ht="11.25" hidden="1">
      <c r="AF16" s="1858">
        <v>0</v>
      </c>
    </row>
    <row customHeight="1" ht="22.5" hidden="1">
      <c r="D17" s="1865"/>
      <c r="E17" s="773"/>
      <c r="F17" s="767"/>
      <c r="G17" s="1873" t="s">
        <v>571</v>
      </c>
      <c r="H17" s="772"/>
      <c r="I17" s="772"/>
      <c r="J17" s="516" t="s">
        <v>572</v>
      </c>
      <c r="K17" s="770"/>
      <c r="AF17" s="1858">
        <v>0</v>
      </c>
    </row>
    <row customHeight="1" ht="11.25" hidden="1">
      <c r="AF18" s="1858">
        <v>0</v>
      </c>
    </row>
    <row s="13105"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75"/>
      <c r="G21" s="2475"/>
      <c r="H21" s="2475"/>
      <c r="I21" s="2475"/>
      <c r="J21" s="783"/>
      <c r="AF21" s="1858">
        <v>24</v>
      </c>
    </row>
    <row customHeight="1" ht="25.2">
      <c r="E22" s="2476" t="str">
        <f>IF(org=0,"Не определено",org)</f>
        <v>МУП "Уссурийск-Водоканал"</v>
      </c>
      <c r="F22" s="2476"/>
      <c r="G22" s="2476"/>
      <c r="H22" s="2476"/>
      <c r="I22" s="2476"/>
      <c r="AF22" s="1858">
        <v>24</v>
      </c>
    </row>
    <row customHeight="1" ht="11.549999999999999">
      <c r="E23" s="1362"/>
      <c r="F23" s="1362"/>
      <c r="G23" s="1362"/>
      <c r="H23" s="1362"/>
      <c r="I23" s="1362"/>
      <c r="AF23" s="1858">
        <v>11</v>
      </c>
    </row>
    <row s="13222"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573</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574</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88</v>
      </c>
      <c r="F29" s="1880" t="s">
        <v>307</v>
      </c>
      <c r="G29" s="1880" t="s">
        <v>575</v>
      </c>
      <c r="H29" s="1880" t="s">
        <v>308</v>
      </c>
      <c r="I29" s="1880" t="s">
        <v>308</v>
      </c>
      <c r="J29" s="2354"/>
      <c r="AF29" s="1858">
        <v>23</v>
      </c>
    </row>
    <row customHeight="1" ht="19.95">
      <c r="D30" s="1865"/>
      <c r="E30" s="773">
        <f>FHD_NUM_P_1</f>
        <v>1</v>
      </c>
      <c r="F30" s="2107" t="str">
        <f>FHD_P_1</f>
        <v>Выручка от регулируемых видов деятельности в сфере холодного водоснабжения</v>
      </c>
      <c r="G30" s="2105" t="s">
        <v>561</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холодного водоснабжения, включая:</v>
      </c>
      <c r="G31" s="2105" t="s">
        <v>561</v>
      </c>
      <c r="H31" s="785">
        <f>SUMIF($K33:$K71,$K31,H33:H71)</f>
        <v>0</v>
      </c>
      <c r="I31" s="785">
        <f>SUMIF($K33:$K71,$K31,I33:I71)</f>
        <v>0</v>
      </c>
      <c r="J31" s="516" t="str">
        <f>FHD_NOTE_P_2</f>
        <v>Указывается суммарная себестоимость производимых товаров.</v>
      </c>
      <c r="K31" s="1863" t="s">
        <v>576</v>
      </c>
      <c r="AF31" s="1858">
        <v>11</v>
      </c>
    </row>
    <row customHeight="1" ht="11.549999999999999">
      <c r="D32" s="1865"/>
      <c r="E32" s="773" t="str">
        <f>FHD_NUM_P_3</f>
        <v>2.1</v>
      </c>
      <c r="F32" s="1751" t="str">
        <f>FHD_P_3</f>
        <v>Расходы на оплату холодной воды, приобретаемой у других организаций для последующей подачи потребителям</v>
      </c>
      <c r="G32" s="2105" t="s">
        <v>561</v>
      </c>
      <c r="H32" s="784"/>
      <c r="I32" s="784"/>
      <c r="J32" s="516" t="str">
        <f>FHD_NOTE_P_3</f>
        <v/>
      </c>
      <c r="K32" s="1863" t="str">
        <f>IF((LEN(E32)-LEN(SUBSTITUTE(E32,".","")))/LEN(".")=1,"p","")</f>
        <v>p</v>
      </c>
      <c r="AF32" s="1858">
        <v>11</v>
      </c>
    </row>
    <row customHeight="1" ht="11.25" hidden="1">
      <c r="A33" s="2598" t="s">
        <v>577</v>
      </c>
      <c r="D33" s="1865"/>
      <c r="E33" s="773" t="str">
        <f>FHD_NUM_P_4</f>
        <v/>
      </c>
      <c r="F33" s="1751" t="str">
        <f>FHD_P_4</f>
        <v/>
      </c>
      <c r="G33" s="2105" t="s">
        <v>561</v>
      </c>
      <c r="H33" s="785">
        <f>SUMIF($F34:$F40,$F3,H34:H40)</f>
        <v>0</v>
      </c>
      <c r="I33" s="785">
        <f>SUMIF($F34:$F40,$F3,I34:I40)</f>
        <v>0</v>
      </c>
      <c r="J33" s="516" t="str">
        <f>FHD_NOTE_P_4</f>
        <v/>
      </c>
      <c r="K33" s="1863" t="str">
        <f>IF((LEN(E33)-LEN(SUBSTITUTE(E33,".","")))/LEN(".")=1,"p","")</f>
        <v/>
      </c>
      <c r="AF33" s="1858">
        <v>0</v>
      </c>
    </row>
    <row s="13827"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3827"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3827"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3827"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3827"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3827"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3221" customFormat="1" customHeight="1" ht="15" hidden="1">
      <c r="A40" s="2598"/>
      <c r="C40" s="1863"/>
      <c r="D40" s="1860"/>
      <c r="E40" s="797"/>
      <c r="F40" s="798" t="s">
        <v>578</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579</v>
      </c>
      <c r="D41" s="1865"/>
      <c r="E41" s="773" t="str">
        <f>FHD_NUM_P_5</f>
        <v/>
      </c>
      <c r="F41" s="1751" t="str">
        <f>FHD_P_5</f>
        <v/>
      </c>
      <c r="G41" s="2105" t="s">
        <v>561</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561</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561</v>
      </c>
      <c r="H43" s="784"/>
      <c r="I43" s="784"/>
      <c r="J43" s="516" t="str">
        <f>FHD_NOTE_P_7</f>
        <v/>
      </c>
      <c r="K43" s="1863" t="str">
        <f>IF((LEN(E43)-LEN(SUBSTITUTE(E43,".","")))/LEN(".")=1,"p","")</f>
        <v/>
      </c>
      <c r="AF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561</v>
      </c>
      <c r="H44" s="784"/>
      <c r="I44" s="784"/>
      <c r="J44" s="516" t="str">
        <f>FHD_NOTE_P_8</f>
        <v/>
      </c>
      <c r="K44" s="1863" t="str">
        <f>IF((LEN(E44)-LEN(SUBSTITUTE(E44,".","")))/LEN(".")=1,"p","")</f>
        <v>p</v>
      </c>
      <c r="AF44" s="1858">
        <v>11</v>
      </c>
    </row>
    <row customHeight="1" ht="11.549999999999999">
      <c r="D45" s="1865"/>
      <c r="E45" s="773" t="str">
        <f>FHD_NUM_P_9</f>
        <v>2.2.1</v>
      </c>
      <c r="F45" s="1877" t="str">
        <f>FHD_P_9</f>
        <v>Средневзвешенная стоимость 1 кВт.ч (с учетом мощности)</v>
      </c>
      <c r="G45" s="2105" t="s">
        <v>580</v>
      </c>
      <c r="H45" s="784"/>
      <c r="I45" s="784"/>
      <c r="J45" s="516" t="str">
        <f>FHD_NOTE_P_9</f>
        <v/>
      </c>
      <c r="K45" s="1863" t="str">
        <f>IF((LEN(E45)-LEN(SUBSTITUTE(E45,".","")))/LEN(".")=1,"p","")</f>
        <v/>
      </c>
      <c r="AF45" s="1858">
        <v>11</v>
      </c>
    </row>
    <row s="13221" customFormat="1" customHeight="1" ht="11.549999999999999">
      <c r="A46" s="1214"/>
      <c r="C46" s="1863"/>
      <c r="D46" s="801"/>
      <c r="E46" s="773" t="str">
        <f>FHD_NUM_P_10</f>
        <v>2.2.2</v>
      </c>
      <c r="F46" s="1877" t="str">
        <f>FHD_P_10</f>
        <v>Объём приобретения электрической энергии</v>
      </c>
      <c r="G46" s="2105" t="s">
        <v>581</v>
      </c>
      <c r="H46" s="784"/>
      <c r="I46" s="784"/>
      <c r="J46" s="516" t="str">
        <f>FHD_NOTE_P_10</f>
        <v/>
      </c>
      <c r="K46" s="1863" t="str">
        <f>IF((LEN(E46)-LEN(SUBSTITUTE(E46,".","")))/LEN(".")=1,"p","")</f>
        <v/>
      </c>
      <c r="L46" s="1863"/>
      <c r="M46" s="1863"/>
      <c r="R46" s="1863"/>
      <c r="U46" s="771"/>
      <c r="AA46" s="1859"/>
      <c r="AB46" s="1859"/>
      <c r="AC46" s="1859"/>
      <c r="AD46" s="1859"/>
      <c r="AE46" s="1859"/>
      <c r="AF46" s="1387">
        <v>11</v>
      </c>
    </row>
    <row s="13221" customFormat="1" customHeight="1" ht="11.25" hidden="1">
      <c r="A47" s="1216" t="s">
        <v>582</v>
      </c>
      <c r="C47" s="1863"/>
      <c r="D47" s="802"/>
      <c r="E47" s="773" t="str">
        <f>FHD_NUM_P_11</f>
        <v/>
      </c>
      <c r="F47" s="1751" t="str">
        <f>FHD_P_11</f>
        <v/>
      </c>
      <c r="G47" s="2105" t="s">
        <v>561</v>
      </c>
      <c r="H47" s="784"/>
      <c r="I47" s="784"/>
      <c r="J47" s="516" t="str">
        <f>FHD_NOTE_P_11</f>
        <v/>
      </c>
      <c r="K47" s="1863" t="str">
        <f>IF((LEN(E47)-LEN(SUBSTITUTE(E47,".","")))/LEN(".")=1,"p","")</f>
        <v/>
      </c>
      <c r="L47" s="1863"/>
      <c r="M47" s="1863"/>
      <c r="R47" s="1863"/>
      <c r="U47" s="771"/>
      <c r="AA47" s="1859"/>
      <c r="AB47" s="1859"/>
      <c r="AC47" s="1859"/>
      <c r="AD47" s="1859"/>
      <c r="AE47" s="1859"/>
      <c r="AF47" s="1387">
        <v>0</v>
      </c>
    </row>
    <row s="13221" customFormat="1" customHeight="1" ht="18.75">
      <c r="A48" s="1216" t="s">
        <v>583</v>
      </c>
      <c r="C48" s="1863"/>
      <c r="D48" s="1865"/>
      <c r="E48" s="773" t="str">
        <f>FHD_NUM_P_12</f>
        <v>2.3</v>
      </c>
      <c r="F48" s="1751" t="str">
        <f>FHD_P_12</f>
        <v>Расходы на химические реагенты, используемые в технологическом процессе</v>
      </c>
      <c r="G48" s="2105" t="s">
        <v>561</v>
      </c>
      <c r="H48" s="804"/>
      <c r="I48" s="804"/>
      <c r="J48" s="516" t="str">
        <f>FHD_NOTE_P_12</f>
        <v/>
      </c>
      <c r="K48" s="1863" t="str">
        <f>IF((LEN(E48)-LEN(SUBSTITUTE(E48,".","")))/LEN(".")=1,"p","")</f>
        <v>p</v>
      </c>
      <c r="L48" s="1863"/>
      <c r="M48" s="1863"/>
      <c r="R48" s="1863"/>
      <c r="U48" s="771"/>
      <c r="AA48" s="1859"/>
      <c r="AB48" s="1859"/>
      <c r="AC48" s="1859"/>
      <c r="AD48" s="1859"/>
      <c r="AE48" s="1859"/>
      <c r="AF48" s="1387">
        <v>18</v>
      </c>
    </row>
    <row s="15226"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561</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5226"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561</v>
      </c>
      <c r="H50" s="784"/>
      <c r="I50" s="784"/>
      <c r="J50" s="516" t="str">
        <f>FHD_NOTE_P_14</f>
        <v/>
      </c>
      <c r="K50" s="1863" t="str">
        <f>IF((LEN(E50)-LEN(SUBSTITUTE(E50,".","")))/LEN(".")=1,"p","")</f>
        <v/>
      </c>
      <c r="L50" s="957"/>
      <c r="M50" s="957"/>
      <c r="R50" s="957"/>
      <c r="U50" s="958"/>
      <c r="AA50" s="959"/>
      <c r="AB50" s="959"/>
      <c r="AC50" s="959"/>
      <c r="AD50" s="959"/>
      <c r="AE50" s="959"/>
      <c r="AF50" s="956">
        <v>11</v>
      </c>
    </row>
    <row s="15226"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561</v>
      </c>
      <c r="H51" s="784"/>
      <c r="I51" s="784"/>
      <c r="J51" s="516" t="str">
        <f>FHD_NOTE_P_15</f>
        <v/>
      </c>
      <c r="K51" s="1863" t="str">
        <f>IF((LEN(E51)-LEN(SUBSTITUTE(E51,".","")))/LEN(".")=1,"p","")</f>
        <v/>
      </c>
      <c r="L51" s="957"/>
      <c r="M51" s="957"/>
      <c r="R51" s="957"/>
      <c r="U51" s="958"/>
      <c r="AA51" s="959"/>
      <c r="AB51" s="959"/>
      <c r="AC51" s="959"/>
      <c r="AD51" s="959"/>
      <c r="AE51" s="959"/>
      <c r="AF51" s="956">
        <v>11</v>
      </c>
    </row>
    <row s="13221"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561</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3221"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v>
      </c>
      <c r="G53" s="2105" t="s">
        <v>561</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3221"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561</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3221"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561</v>
      </c>
      <c r="H55" s="784"/>
      <c r="I55" s="784"/>
      <c r="J55" s="516" t="str">
        <f>FHD_NOTE_P_19</f>
        <v/>
      </c>
      <c r="K55" s="1863" t="str">
        <f>IF((LEN(E55)-LEN(SUBSTITUTE(E55,".","")))/LEN(".")=1,"p","")</f>
        <v>p</v>
      </c>
      <c r="L55" s="1863"/>
      <c r="M55" s="1863"/>
      <c r="R55" s="1863"/>
      <c r="U55" s="771"/>
      <c r="AA55" s="1859"/>
      <c r="AB55" s="1859"/>
      <c r="AC55" s="1859"/>
      <c r="AD55" s="1859"/>
      <c r="AE55" s="1859"/>
      <c r="AF55" s="1387">
        <v>11</v>
      </c>
    </row>
    <row s="13221" customFormat="1" customHeight="1" ht="11.549999999999999">
      <c r="A56" s="1214"/>
      <c r="C56" s="1863"/>
      <c r="D56" s="802"/>
      <c r="E56" s="773" t="str">
        <f>FHD_NUM_P_20</f>
        <v>2.6.1</v>
      </c>
      <c r="F56" s="1877" t="str">
        <f>FHD_P_20</f>
        <v>Расходы на амортизацию основных средств</v>
      </c>
      <c r="G56" s="2105" t="s">
        <v>561</v>
      </c>
      <c r="H56" s="784"/>
      <c r="I56" s="784"/>
      <c r="J56" s="516" t="str">
        <f>FHD_NOTE_P_20</f>
        <v/>
      </c>
      <c r="K56" s="1863" t="str">
        <f>IF((LEN(E56)-LEN(SUBSTITUTE(E56,".","")))/LEN(".")=1,"p","")</f>
        <v/>
      </c>
      <c r="L56" s="1863"/>
      <c r="M56" s="1863"/>
      <c r="R56" s="1863"/>
      <c r="U56" s="771"/>
      <c r="AA56" s="1859"/>
      <c r="AB56" s="1859"/>
      <c r="AC56" s="1859"/>
      <c r="AD56" s="1859"/>
      <c r="AE56" s="1859"/>
      <c r="AF56" s="1387">
        <v>11</v>
      </c>
    </row>
    <row s="13221" customFormat="1" customHeight="1" ht="11.549999999999999">
      <c r="A57" s="1214"/>
      <c r="C57" s="1863"/>
      <c r="D57" s="802"/>
      <c r="E57" s="773" t="str">
        <f>FHD_NUM_P_21</f>
        <v>2.6.2</v>
      </c>
      <c r="F57" s="1877" t="str">
        <f>FHD_P_21</f>
        <v>Расходы на амортизацию нематериальных активов</v>
      </c>
      <c r="G57" s="2105" t="s">
        <v>561</v>
      </c>
      <c r="H57" s="784"/>
      <c r="I57" s="784"/>
      <c r="J57" s="516" t="str">
        <f>FHD_NOTE_P_21</f>
        <v/>
      </c>
      <c r="K57" s="1863" t="str">
        <f>IF((LEN(E57)-LEN(SUBSTITUTE(E57,".","")))/LEN(".")=1,"p","")</f>
        <v/>
      </c>
      <c r="L57" s="1863"/>
      <c r="M57" s="1863"/>
      <c r="R57" s="1863"/>
      <c r="U57" s="771"/>
      <c r="AA57" s="1859"/>
      <c r="AB57" s="1859"/>
      <c r="AC57" s="1859"/>
      <c r="AD57" s="1859"/>
      <c r="AE57" s="1859"/>
      <c r="AF57" s="1387">
        <v>11</v>
      </c>
    </row>
    <row s="13221"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холодного водоснабжения</v>
      </c>
      <c r="G58" s="2105" t="s">
        <v>561</v>
      </c>
      <c r="H58" s="784"/>
      <c r="I58" s="784"/>
      <c r="J58" s="516" t="str">
        <f>FHD_NOTE_P_22</f>
        <v/>
      </c>
      <c r="K58" s="1863" t="str">
        <f>IF((LEN(E58)-LEN(SUBSTITUTE(E58,".","")))/LEN(".")=1,"p","")</f>
        <v>p</v>
      </c>
      <c r="L58" s="1863"/>
      <c r="M58" s="1863"/>
      <c r="R58" s="1863"/>
      <c r="U58" s="771"/>
      <c r="AA58" s="1859"/>
      <c r="AB58" s="1859"/>
      <c r="AC58" s="1859"/>
      <c r="AD58" s="1859"/>
      <c r="AE58" s="1859"/>
      <c r="AF58" s="1387">
        <v>11</v>
      </c>
    </row>
    <row s="13221" customFormat="1" customHeight="1" ht="11.549999999999999">
      <c r="A59" s="1214"/>
      <c r="C59" s="1863"/>
      <c r="D59" s="802"/>
      <c r="E59" s="773" t="str">
        <f>FHD_NUM_P_23</f>
        <v>2.8</v>
      </c>
      <c r="F59" s="1751" t="str">
        <f>FHD_P_23</f>
        <v>Общепроизводственные расходы, в том числе:</v>
      </c>
      <c r="G59" s="2105" t="s">
        <v>561</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3221" customFormat="1" customHeight="1" ht="11.549999999999999">
      <c r="A60" s="1214"/>
      <c r="C60" s="1863"/>
      <c r="D60" s="802"/>
      <c r="E60" s="773" t="str">
        <f>FHD_NUM_P_24</f>
        <v>2.8.1</v>
      </c>
      <c r="F60" s="1877" t="str">
        <f>FHD_P_24</f>
        <v>Расходы на текущий ремонт</v>
      </c>
      <c r="G60" s="2105" t="s">
        <v>561</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3221" customFormat="1" customHeight="1" ht="11.549999999999999">
      <c r="A61" s="1214"/>
      <c r="C61" s="1863"/>
      <c r="D61" s="802"/>
      <c r="E61" s="773" t="str">
        <f>FHD_NUM_P_25</f>
        <v>2.8.2</v>
      </c>
      <c r="F61" s="1877" t="str">
        <f>FHD_P_25</f>
        <v>Расходы на капитальный ремонт</v>
      </c>
      <c r="G61" s="2105" t="s">
        <v>561</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3221" customFormat="1" customHeight="1" ht="11.549999999999999">
      <c r="A62" s="1214"/>
      <c r="C62" s="1863"/>
      <c r="D62" s="1865"/>
      <c r="E62" s="773" t="str">
        <f>FHD_NUM_P_26</f>
        <v>2.9</v>
      </c>
      <c r="F62" s="1751" t="str">
        <f>FHD_P_26</f>
        <v>Общехозяйственные расходы, в том числе:</v>
      </c>
      <c r="G62" s="2105" t="s">
        <v>561</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3221" customFormat="1" customHeight="1" ht="11.549999999999999">
      <c r="A63" s="1214"/>
      <c r="C63" s="1863"/>
      <c r="D63" s="1865"/>
      <c r="E63" s="773" t="str">
        <f>FHD_NUM_P_27</f>
        <v>2.9.1</v>
      </c>
      <c r="F63" s="1877" t="str">
        <f>FHD_P_27</f>
        <v>Расходы на текущий ремонт</v>
      </c>
      <c r="G63" s="2105" t="s">
        <v>561</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3221" customFormat="1" customHeight="1" ht="11.549999999999999">
      <c r="A64" s="1214"/>
      <c r="C64" s="1863"/>
      <c r="D64" s="1865"/>
      <c r="E64" s="773" t="str">
        <f>FHD_NUM_P_28</f>
        <v>2.9.2</v>
      </c>
      <c r="F64" s="1877" t="str">
        <f>FHD_P_28</f>
        <v>Расходы на капитальный ремонт</v>
      </c>
      <c r="G64" s="2105" t="s">
        <v>561</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3221"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561</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3221"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584</v>
      </c>
      <c r="I66" s="1876" t="s">
        <v>584</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3221" customFormat="1" customHeight="1" ht="23.25">
      <c r="A67" s="2598" t="s">
        <v>585</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5" t="s">
        <v>561</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3221"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311</v>
      </c>
      <c r="H68" s="1876" t="s">
        <v>584</v>
      </c>
      <c r="I68" s="1876" t="s">
        <v>584</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3221"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6" t="s">
        <v>561</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3222" customFormat="1" customHeight="1" ht="1.05">
      <c r="A70" s="1394"/>
      <c r="D70" s="775"/>
      <c r="E70" s="1240" t="str">
        <f>E69&amp;".0"</f>
        <v>2.12.0</v>
      </c>
      <c r="F70" s="1218"/>
      <c r="G70" s="1240"/>
      <c r="H70" s="1219"/>
      <c r="I70" s="1219"/>
      <c r="J70" s="1220"/>
      <c r="K70" s="1863" t="str">
        <f>IF((LEN(E70)-LEN(SUBSTITUTE(E70,".","")))/LEN(".")=1,"p","")</f>
        <v/>
      </c>
      <c r="AF70" s="1863">
        <v>1</v>
      </c>
    </row>
    <row s="13221" customFormat="1" customHeight="1" ht="14.699999999999998">
      <c r="A71" s="1214"/>
      <c r="C71" s="1863"/>
      <c r="D71" s="1860"/>
      <c r="E71" s="797"/>
      <c r="F71" s="798" t="s">
        <v>586</v>
      </c>
      <c r="G71" s="799"/>
      <c r="H71" s="800"/>
      <c r="I71" s="800"/>
      <c r="J71" s="528"/>
      <c r="K71" s="1863"/>
      <c r="L71" s="1863"/>
      <c r="M71" s="1863"/>
      <c r="R71" s="1863"/>
      <c r="U71" s="771"/>
      <c r="AA71" s="1859"/>
      <c r="AB71" s="1859"/>
      <c r="AC71" s="1859"/>
      <c r="AD71" s="1859"/>
      <c r="AE71" s="1859"/>
      <c r="AF71" s="1387">
        <v>14</v>
      </c>
    </row>
    <row s="13221" customFormat="1" customHeight="1" ht="18.75" hidden="1">
      <c r="A72" s="1216" t="s">
        <v>587</v>
      </c>
      <c r="C72" s="1863"/>
      <c r="D72" s="1865"/>
      <c r="E72" s="773" t="str">
        <f>FHD_NUM_P_34</f>
        <v/>
      </c>
      <c r="F72" s="2107" t="str">
        <f>FHD_P_34</f>
        <v/>
      </c>
      <c r="G72" s="2105" t="s">
        <v>561</v>
      </c>
      <c r="H72" s="784"/>
      <c r="I72" s="784"/>
      <c r="J72" s="516" t="str">
        <f>FHD_NOTE_P_34</f>
        <v/>
      </c>
      <c r="K72" s="770"/>
      <c r="L72" s="1863"/>
      <c r="M72" s="1863"/>
      <c r="R72" s="1863"/>
      <c r="U72" s="771"/>
      <c r="AA72" s="1859"/>
      <c r="AB72" s="1859"/>
      <c r="AC72" s="1859"/>
      <c r="AD72" s="1859"/>
      <c r="AE72" s="1859"/>
      <c r="AF72" s="1387">
        <v>0</v>
      </c>
    </row>
    <row s="13221" customFormat="1" customHeight="1" ht="19.95">
      <c r="A73" s="1214"/>
      <c r="C73" s="1863"/>
      <c r="D73" s="802"/>
      <c r="E73" s="773" t="str">
        <f>FHD_NUM_P_35</f>
        <v>3</v>
      </c>
      <c r="F73" s="2107" t="str">
        <f>FHD_P_35</f>
        <v>Чистая прибыль, полученная от регулируемого вида деятельности в сфере холодного водоснабжения, в том числе:</v>
      </c>
      <c r="G73" s="2105" t="s">
        <v>561</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3221"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561</v>
      </c>
      <c r="H74" s="784"/>
      <c r="I74" s="784"/>
      <c r="J74" s="516" t="str">
        <f>FHD_NOTE_P_36</f>
        <v/>
      </c>
      <c r="K74" s="770"/>
      <c r="L74" s="1863"/>
      <c r="M74" s="1863"/>
      <c r="R74" s="1863"/>
      <c r="U74" s="771"/>
      <c r="AA74" s="1859"/>
      <c r="AB74" s="1859"/>
      <c r="AC74" s="1859"/>
      <c r="AD74" s="1859"/>
      <c r="AE74" s="1859"/>
      <c r="AF74" s="1387">
        <v>19</v>
      </c>
    </row>
    <row s="13221" customFormat="1" customHeight="1" ht="19.95">
      <c r="A75" s="1214"/>
      <c r="C75" s="1863"/>
      <c r="D75" s="1865"/>
      <c r="E75" s="773" t="str">
        <f>FHD_NUM_P_37</f>
        <v>4</v>
      </c>
      <c r="F75" s="2107" t="str">
        <f>FHD_P_37</f>
        <v>Изменение стоимости основных фондов, в том числе:</v>
      </c>
      <c r="G75" s="2105" t="s">
        <v>561</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3221"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561</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3221"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561</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3221"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561</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3221" customFormat="1" customHeight="1" ht="19.95">
      <c r="A79" s="1214"/>
      <c r="C79" s="1863"/>
      <c r="D79" s="1865"/>
      <c r="E79" s="773" t="str">
        <f>FHD_NUM_P_41</f>
        <v>4.2</v>
      </c>
      <c r="F79" s="2302" t="str">
        <f>FHD_P_41</f>
        <v>Изменение стоимости основных фондов за счет их переоценки</v>
      </c>
      <c r="G79" s="2298" t="s">
        <v>561</v>
      </c>
      <c r="H79" s="1203"/>
      <c r="I79" s="784"/>
      <c r="J79" s="516" t="str">
        <f>FHD_NOTE_P_41</f>
        <v/>
      </c>
      <c r="K79" s="770"/>
      <c r="L79" s="1863"/>
      <c r="M79" s="1863"/>
      <c r="R79" s="1863"/>
      <c r="U79" s="771"/>
      <c r="AA79" s="1859"/>
      <c r="AB79" s="1859"/>
      <c r="AC79" s="1859"/>
      <c r="AD79" s="1859"/>
      <c r="AE79" s="1859"/>
      <c r="AF79" s="1387">
        <v>19</v>
      </c>
    </row>
    <row s="13221" customFormat="1" customHeight="1" ht="19.95">
      <c r="A80" s="1216" t="s">
        <v>588</v>
      </c>
      <c r="C80" s="1863"/>
      <c r="D80" s="1865"/>
      <c r="E80" s="773" t="str">
        <f>FHD_NUM_P_42</f>
        <v>5</v>
      </c>
      <c r="F80" s="2300" t="str">
        <f>FHD_P_42</f>
        <v>Валовая прибыль (убытки) от продажи товаров и услуг по регулируемым видам деятельности в сфере холодного водоснабжения</v>
      </c>
      <c r="G80" s="2298" t="s">
        <v>561</v>
      </c>
      <c r="H80" s="1203"/>
      <c r="I80" s="784"/>
      <c r="J80" s="516" t="str">
        <f>FHD_NOTE_P_42</f>
        <v/>
      </c>
      <c r="K80" s="770"/>
      <c r="L80" s="1863"/>
      <c r="M80" s="1863"/>
      <c r="R80" s="1863"/>
      <c r="U80" s="771"/>
      <c r="AA80" s="1859"/>
      <c r="AB80" s="1859"/>
      <c r="AC80" s="1859"/>
      <c r="AD80" s="1859"/>
      <c r="AE80" s="1859"/>
      <c r="AF80" s="1387">
        <v>19</v>
      </c>
    </row>
    <row s="13221"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3221" customFormat="1" customHeight="1" ht="18.75">
      <c r="A82" s="2598" t="s">
        <v>589</v>
      </c>
      <c r="C82" s="962"/>
      <c r="D82" s="960"/>
      <c r="E82" s="773" t="str">
        <f>FHD_NUM_P_44</f>
        <v>7</v>
      </c>
      <c r="F82" s="2107" t="str">
        <f>FHD_P_44</f>
        <v>Объём поднятой воды</v>
      </c>
      <c r="G82" s="2108" t="s">
        <v>590</v>
      </c>
      <c r="H82" s="1204"/>
      <c r="I82" s="804"/>
      <c r="J82" s="516" t="str">
        <f>FHD_NOTE_P_44</f>
        <v/>
      </c>
      <c r="K82" s="961"/>
      <c r="L82" s="962"/>
      <c r="M82" s="962"/>
      <c r="R82" s="962"/>
      <c r="U82" s="963"/>
      <c r="AA82" s="964"/>
      <c r="AB82" s="964"/>
      <c r="AC82" s="964"/>
      <c r="AD82" s="964"/>
      <c r="AE82" s="964"/>
      <c r="AF82" s="1137">
        <v>0</v>
      </c>
    </row>
    <row s="13221" customFormat="1" customHeight="1" ht="18.75">
      <c r="A83" s="2598"/>
      <c r="C83" s="962"/>
      <c r="D83" s="960"/>
      <c r="E83" s="773" t="str">
        <f>FHD_NUM_P_45</f>
        <v>8</v>
      </c>
      <c r="F83" s="2107" t="str">
        <f>FHD_P_45</f>
        <v>Объём покупной воды</v>
      </c>
      <c r="G83" s="2108" t="s">
        <v>590</v>
      </c>
      <c r="H83" s="1204"/>
      <c r="I83" s="804"/>
      <c r="J83" s="516" t="str">
        <f>FHD_NOTE_P_45</f>
        <v/>
      </c>
      <c r="K83" s="961"/>
      <c r="L83" s="962"/>
      <c r="M83" s="962"/>
      <c r="R83" s="962"/>
      <c r="U83" s="963"/>
      <c r="AA83" s="964"/>
      <c r="AB83" s="964"/>
      <c r="AC83" s="964"/>
      <c r="AD83" s="964"/>
      <c r="AE83" s="964"/>
      <c r="AF83" s="1137">
        <v>0</v>
      </c>
    </row>
    <row s="13221" customFormat="1" customHeight="1" ht="18.75">
      <c r="A84" s="2598"/>
      <c r="C84" s="962"/>
      <c r="D84" s="965"/>
      <c r="E84" s="773" t="str">
        <f>FHD_NUM_P_46</f>
        <v>9</v>
      </c>
      <c r="F84" s="2107" t="str">
        <f>FHD_P_46</f>
        <v>Объём воды, пропущенной через очистные сооружения</v>
      </c>
      <c r="G84" s="2108" t="s">
        <v>590</v>
      </c>
      <c r="H84" s="1204"/>
      <c r="I84" s="804"/>
      <c r="J84" s="516" t="str">
        <f>FHD_NOTE_P_46</f>
        <v/>
      </c>
      <c r="K84" s="961"/>
      <c r="L84" s="962"/>
      <c r="M84" s="962"/>
      <c r="R84" s="962"/>
      <c r="U84" s="963"/>
      <c r="AA84" s="964"/>
      <c r="AB84" s="964"/>
      <c r="AC84" s="964"/>
      <c r="AD84" s="964"/>
      <c r="AE84" s="964"/>
      <c r="AF84" s="1137">
        <v>0</v>
      </c>
    </row>
    <row s="13221" customFormat="1" customHeight="1" ht="18.75">
      <c r="A85" s="2598"/>
      <c r="C85" s="962"/>
      <c r="D85" s="960"/>
      <c r="E85" s="773" t="str">
        <f>FHD_NUM_P_47</f>
        <v>10</v>
      </c>
      <c r="F85" s="2107" t="str">
        <f>FHD_P_47</f>
        <v>Объём отпущенной потребителям воды, в том числе:</v>
      </c>
      <c r="G85" s="2108" t="s">
        <v>590</v>
      </c>
      <c r="H85" s="1204"/>
      <c r="I85" s="804"/>
      <c r="J85" s="516" t="str">
        <f>FHD_NOTE_P_47</f>
        <v>Указывается общий объем отпущенной потребителям воды.</v>
      </c>
      <c r="K85" s="961"/>
      <c r="L85" s="962"/>
      <c r="M85" s="962"/>
      <c r="R85" s="962"/>
      <c r="U85" s="963"/>
      <c r="AA85" s="964"/>
      <c r="AB85" s="964"/>
      <c r="AC85" s="964"/>
      <c r="AD85" s="964"/>
      <c r="AE85" s="964"/>
      <c r="AF85" s="1137">
        <v>0</v>
      </c>
    </row>
    <row s="13141" customFormat="1" customHeight="1" ht="18.75">
      <c r="A86" s="2598"/>
      <c r="B86" s="1137"/>
      <c r="C86" s="962"/>
      <c r="D86" s="960"/>
      <c r="E86" s="773" t="str">
        <f>FHD_NUM_P_48</f>
        <v>10.1</v>
      </c>
      <c r="F86" s="2107" t="str">
        <f>FHD_P_48</f>
        <v>Объём отпущенной потребителям воды, определенный по приборам учета</v>
      </c>
      <c r="G86" s="2108" t="s">
        <v>590</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3141" customFormat="1" customHeight="1" ht="18.75">
      <c r="A87" s="2598"/>
      <c r="B87" s="1137"/>
      <c r="C87" s="962"/>
      <c r="D87" s="960"/>
      <c r="E87" s="773" t="str">
        <f>FHD_NUM_P_49</f>
        <v>10.2</v>
      </c>
      <c r="F87" s="2107" t="str">
        <f>FHD_P_49</f>
        <v>Объём отпущенной потребителям воды, определенный расчетным способом</v>
      </c>
      <c r="G87" s="2108" t="s">
        <v>590</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3141" customFormat="1" customHeight="1" ht="18.75">
      <c r="A88" s="2598"/>
      <c r="B88" s="1137"/>
      <c r="C88" s="962"/>
      <c r="D88" s="960"/>
      <c r="E88" s="773" t="str">
        <f>FHD_NUM_P_50</f>
        <v>10.2.1</v>
      </c>
      <c r="F88" s="2107" t="str">
        <f>FHD_P_50</f>
        <v>Объём отпущенной потребителям воды, определенный по нормативам потребления коммунальных услуг</v>
      </c>
      <c r="G88" s="2108" t="s">
        <v>590</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3141" customFormat="1" customHeight="1" ht="18.75">
      <c r="A89" s="2598"/>
      <c r="B89" s="1137"/>
      <c r="C89" s="962"/>
      <c r="D89" s="960"/>
      <c r="E89" s="773" t="str">
        <f>FHD_NUM_P_51</f>
        <v>10.2.2</v>
      </c>
      <c r="F89" s="2107" t="str">
        <f>FHD_P_51</f>
        <v>Объём отпущенной потребителям воды, определенный по нормативам потребления коммунальных ресурсов </v>
      </c>
      <c r="G89" s="2108" t="s">
        <v>590</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3141" customFormat="1" customHeight="1" ht="18.75">
      <c r="A90" s="2598"/>
      <c r="B90" s="1137"/>
      <c r="C90" s="962"/>
      <c r="D90" s="960"/>
      <c r="E90" s="773" t="str">
        <f>FHD_NUM_P_52</f>
        <v>11</v>
      </c>
      <c r="F90" s="2107" t="str">
        <f>FHD_P_52</f>
        <v>Потери воды в сетях</v>
      </c>
      <c r="G90" s="2108" t="s">
        <v>567</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3221" customFormat="1" customHeight="1" ht="18.75" hidden="1">
      <c r="A91" s="2600" t="s">
        <v>591</v>
      </c>
      <c r="C91" s="962"/>
      <c r="D91" s="960"/>
      <c r="E91" s="773" t="str">
        <f>FHD_NUM_P_53</f>
        <v/>
      </c>
      <c r="F91" s="2107" t="str">
        <f>FHD_P_53</f>
        <v/>
      </c>
      <c r="G91" s="2108" t="s">
        <v>590</v>
      </c>
      <c r="H91" s="1204"/>
      <c r="I91" s="804"/>
      <c r="J91" s="516" t="str">
        <f>FHD_NOTE_P_53</f>
        <v/>
      </c>
      <c r="K91" s="961"/>
      <c r="L91" s="962"/>
      <c r="M91" s="962"/>
      <c r="R91" s="962"/>
      <c r="U91" s="963"/>
      <c r="AA91" s="964"/>
      <c r="AB91" s="964"/>
      <c r="AC91" s="964"/>
      <c r="AD91" s="964"/>
      <c r="AE91" s="964"/>
      <c r="AF91" s="1137">
        <v>0</v>
      </c>
    </row>
    <row s="13221" customFormat="1" customHeight="1" ht="18.75" hidden="1">
      <c r="A92" s="2600"/>
      <c r="C92" s="962"/>
      <c r="D92" s="960"/>
      <c r="E92" s="773" t="str">
        <f>FHD_NUM_P_54</f>
        <v/>
      </c>
      <c r="F92" s="2107" t="str">
        <f>FHD_P_54</f>
        <v/>
      </c>
      <c r="G92" s="2108" t="s">
        <v>590</v>
      </c>
      <c r="H92" s="1204"/>
      <c r="I92" s="804"/>
      <c r="J92" s="516" t="str">
        <f>FHD_NOTE_P_54</f>
        <v/>
      </c>
      <c r="K92" s="961"/>
      <c r="L92" s="962"/>
      <c r="M92" s="962"/>
      <c r="R92" s="962"/>
      <c r="U92" s="963"/>
      <c r="AA92" s="964"/>
      <c r="AB92" s="964"/>
      <c r="AC92" s="964"/>
      <c r="AD92" s="964"/>
      <c r="AE92" s="964"/>
      <c r="AF92" s="1137">
        <v>0</v>
      </c>
    </row>
    <row s="13221"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3221" customFormat="1" customHeight="1" ht="18.75" hidden="1">
      <c r="A94" s="2600"/>
      <c r="C94" s="962"/>
      <c r="D94" s="960"/>
      <c r="E94" s="773" t="str">
        <f>FHD_NUM_P_56</f>
        <v/>
      </c>
      <c r="F94" s="2107" t="str">
        <f>FHD_P_56</f>
        <v/>
      </c>
      <c r="G94" s="2108" t="s">
        <v>592</v>
      </c>
      <c r="H94" s="1204"/>
      <c r="I94" s="804"/>
      <c r="J94" s="516" t="str">
        <f>FHD_NOTE_P_56</f>
        <v/>
      </c>
      <c r="K94" s="961"/>
      <c r="L94" s="962"/>
      <c r="M94" s="962"/>
      <c r="R94" s="962"/>
      <c r="U94" s="963"/>
      <c r="AA94" s="964"/>
      <c r="AB94" s="964"/>
      <c r="AC94" s="964"/>
      <c r="AD94" s="964"/>
      <c r="AE94" s="964"/>
      <c r="AF94" s="1137">
        <v>0</v>
      </c>
    </row>
    <row s="13141" customFormat="1" customHeight="1" ht="18.75" hidden="1">
      <c r="A95" s="2600"/>
      <c r="B95" s="1137"/>
      <c r="C95" s="962"/>
      <c r="D95" s="960"/>
      <c r="E95" s="773" t="str">
        <f>FHD_NUM_P_57</f>
        <v/>
      </c>
      <c r="F95" s="2107" t="str">
        <f>FHD_P_57</f>
        <v/>
      </c>
      <c r="G95" s="2108" t="s">
        <v>567</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593</v>
      </c>
      <c r="D96" s="1865"/>
      <c r="E96" s="773" t="str">
        <f>FHD_NUM_P_58</f>
        <v/>
      </c>
      <c r="F96" s="2107" t="str">
        <f>FHD_P_58</f>
        <v/>
      </c>
      <c r="G96" s="2108" t="s">
        <v>590</v>
      </c>
      <c r="H96" s="1204"/>
      <c r="I96" s="804"/>
      <c r="J96" s="516" t="str">
        <f>FHD_NOTE_P_58</f>
        <v/>
      </c>
      <c r="K96" s="770"/>
      <c r="AF96" s="1858">
        <v>0</v>
      </c>
    </row>
    <row customHeight="1" ht="18.75" hidden="1">
      <c r="A97" s="2598"/>
      <c r="D97" s="1865"/>
      <c r="E97" s="773" t="str">
        <f>FHD_NUM_P_59</f>
        <v/>
      </c>
      <c r="F97" s="2107" t="str">
        <f>FHD_P_59</f>
        <v/>
      </c>
      <c r="G97" s="2108" t="s">
        <v>590</v>
      </c>
      <c r="H97" s="1204"/>
      <c r="I97" s="804"/>
      <c r="J97" s="516" t="str">
        <f>FHD_NOTE_P_59</f>
        <v/>
      </c>
      <c r="K97" s="770"/>
      <c r="AF97" s="1858">
        <v>0</v>
      </c>
    </row>
    <row customHeight="1" ht="18.75" hidden="1">
      <c r="A98" s="2598"/>
      <c r="D98" s="1865"/>
      <c r="E98" s="773" t="str">
        <f>FHD_NUM_P_60</f>
        <v/>
      </c>
      <c r="F98" s="2107" t="str">
        <f>FHD_P_60</f>
        <v/>
      </c>
      <c r="G98" s="2108" t="s">
        <v>590</v>
      </c>
      <c r="H98" s="1204"/>
      <c r="I98" s="804"/>
      <c r="J98" s="516" t="str">
        <f>FHD_NOTE_P_60</f>
        <v/>
      </c>
      <c r="K98" s="770"/>
      <c r="AF98" s="1858">
        <v>0</v>
      </c>
    </row>
    <row s="13221" customFormat="1" customHeight="1" ht="18.75" hidden="1">
      <c r="A99" s="2598" t="s">
        <v>594</v>
      </c>
      <c r="C99" s="1863"/>
      <c r="D99" s="1865"/>
      <c r="E99" s="773" t="str">
        <f>FHD_NUM_P_61</f>
        <v/>
      </c>
      <c r="F99" s="2107" t="str">
        <f>FHD_P_61</f>
        <v/>
      </c>
      <c r="G99" s="2105" t="s">
        <v>565</v>
      </c>
      <c r="H99" s="1206"/>
      <c r="I99" s="969"/>
      <c r="J99" s="516" t="str">
        <f>FHD_NOTE_P_61</f>
        <v/>
      </c>
      <c r="K99" s="770"/>
      <c r="L99" s="1863"/>
      <c r="M99" s="1863"/>
      <c r="R99" s="1863"/>
      <c r="U99" s="771"/>
      <c r="AA99" s="1859"/>
      <c r="AB99" s="1859"/>
      <c r="AC99" s="1859"/>
      <c r="AD99" s="1859"/>
      <c r="AE99" s="1859"/>
      <c r="AF99" s="1387">
        <v>0</v>
      </c>
    </row>
    <row s="13222"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595</v>
      </c>
      <c r="G101" s="799"/>
      <c r="H101" s="800"/>
      <c r="I101" s="800"/>
      <c r="J101" s="1231" t="s">
        <v>596</v>
      </c>
      <c r="K101" s="770"/>
      <c r="AF101" s="1858">
        <v>0</v>
      </c>
    </row>
    <row s="13221" customFormat="1" customHeight="1" ht="18.75" hidden="1">
      <c r="A102" s="2598"/>
      <c r="C102" s="1863"/>
      <c r="D102" s="1865"/>
      <c r="E102" s="773" t="str">
        <f>FHD_NUM_P_62</f>
        <v/>
      </c>
      <c r="F102" s="2107" t="str">
        <f>FHD_P_62</f>
        <v/>
      </c>
      <c r="G102" s="2104" t="s">
        <v>565</v>
      </c>
      <c r="H102" s="784"/>
      <c r="I102" s="784"/>
      <c r="J102" s="516" t="str">
        <f>FHD_NOTE_P_62</f>
        <v/>
      </c>
      <c r="K102" s="770"/>
      <c r="L102" s="1863"/>
      <c r="M102" s="1863"/>
      <c r="R102" s="1863"/>
      <c r="U102" s="771"/>
      <c r="AA102" s="1859"/>
      <c r="AB102" s="1859"/>
      <c r="AC102" s="1859"/>
      <c r="AD102" s="1859"/>
      <c r="AE102" s="1859"/>
      <c r="AF102" s="1387">
        <v>0</v>
      </c>
    </row>
    <row s="13221" customFormat="1" customHeight="1" ht="18.75" hidden="1">
      <c r="A103" s="2598"/>
      <c r="C103" s="1863"/>
      <c r="D103" s="1865"/>
      <c r="E103" s="773" t="str">
        <f>FHD_NUM_P_63</f>
        <v/>
      </c>
      <c r="F103" s="2107" t="str">
        <f>FHD_P_63</f>
        <v/>
      </c>
      <c r="G103" s="2104" t="s">
        <v>592</v>
      </c>
      <c r="H103" s="804"/>
      <c r="I103" s="804"/>
      <c r="J103" s="516" t="str">
        <f>FHD_NOTE_P_63</f>
        <v/>
      </c>
      <c r="K103" s="770"/>
      <c r="L103" s="1863"/>
      <c r="M103" s="1863"/>
      <c r="R103" s="1863"/>
      <c r="U103" s="771"/>
      <c r="AA103" s="1859"/>
      <c r="AB103" s="1859"/>
      <c r="AC103" s="1859"/>
      <c r="AD103" s="1859"/>
      <c r="AE103" s="1859"/>
      <c r="AF103" s="1387">
        <v>0</v>
      </c>
    </row>
    <row s="13221" customFormat="1" customHeight="1" ht="18.75" hidden="1">
      <c r="A104" s="2598"/>
      <c r="C104" s="1863" t="s">
        <v>597</v>
      </c>
      <c r="D104" s="1865"/>
      <c r="E104" s="773" t="str">
        <f>FHD_NUM_P_64</f>
        <v/>
      </c>
      <c r="F104" s="2107" t="str">
        <f>FHD_P_64</f>
        <v/>
      </c>
      <c r="G104" s="2104" t="s">
        <v>592</v>
      </c>
      <c r="H104" s="772"/>
      <c r="I104" s="772"/>
      <c r="J104" s="516" t="str">
        <f>FHD_NOTE_P_64</f>
        <v/>
      </c>
      <c r="K104" s="770"/>
      <c r="L104" s="1863"/>
      <c r="M104" s="1863"/>
      <c r="R104" s="1863"/>
      <c r="U104" s="771"/>
      <c r="AA104" s="1859"/>
      <c r="AB104" s="1859"/>
      <c r="AC104" s="1859"/>
      <c r="AD104" s="1859"/>
      <c r="AE104" s="1859"/>
      <c r="AF104" s="1387">
        <v>0</v>
      </c>
    </row>
    <row s="13221" customFormat="1" customHeight="1" ht="18.75" hidden="1">
      <c r="A105" s="2598"/>
      <c r="C105" s="1863"/>
      <c r="D105" s="1865"/>
      <c r="E105" s="773" t="str">
        <f>FHD_NUM_P_65</f>
        <v/>
      </c>
      <c r="F105" s="2107" t="str">
        <f>FHD_P_65</f>
        <v/>
      </c>
      <c r="G105" s="2104" t="s">
        <v>592</v>
      </c>
      <c r="H105" s="804"/>
      <c r="I105" s="804"/>
      <c r="J105" s="516" t="str">
        <f>FHD_NOTE_P_65</f>
        <v/>
      </c>
      <c r="K105" s="770"/>
      <c r="L105" s="1863"/>
      <c r="M105" s="1863"/>
      <c r="R105" s="1863"/>
      <c r="U105" s="771"/>
      <c r="AA105" s="1859"/>
      <c r="AB105" s="1859"/>
      <c r="AC105" s="1859"/>
      <c r="AD105" s="1859"/>
      <c r="AE105" s="1859"/>
      <c r="AF105" s="1387">
        <v>0</v>
      </c>
    </row>
    <row s="13221" customFormat="1" customHeight="1" ht="18.75" hidden="1">
      <c r="A106" s="2598"/>
      <c r="C106" s="1863"/>
      <c r="D106" s="1865"/>
      <c r="E106" s="773" t="str">
        <f>FHD_NUM_P_66</f>
        <v/>
      </c>
      <c r="F106" s="1751" t="str">
        <f>FHD_P_66</f>
        <v/>
      </c>
      <c r="G106" s="2104" t="s">
        <v>592</v>
      </c>
      <c r="H106" s="804"/>
      <c r="I106" s="804"/>
      <c r="J106" s="516" t="str">
        <f>FHD_NOTE_P_66</f>
        <v/>
      </c>
      <c r="K106" s="770"/>
      <c r="L106" s="1863"/>
      <c r="M106" s="1863"/>
      <c r="R106" s="1863"/>
      <c r="U106" s="771"/>
      <c r="AA106" s="1859"/>
      <c r="AB106" s="1859"/>
      <c r="AC106" s="1859"/>
      <c r="AD106" s="1859"/>
      <c r="AE106" s="1859"/>
      <c r="AF106" s="1387">
        <v>0</v>
      </c>
    </row>
    <row s="13221" customFormat="1" customHeight="1" ht="18.75" hidden="1">
      <c r="A107" s="2598"/>
      <c r="C107" s="1863"/>
      <c r="D107" s="1865"/>
      <c r="E107" s="773" t="str">
        <f>FHD_NUM_P_67</f>
        <v/>
      </c>
      <c r="F107" s="1877" t="str">
        <f>FHD_P_67</f>
        <v/>
      </c>
      <c r="G107" s="2104" t="s">
        <v>592</v>
      </c>
      <c r="H107" s="804"/>
      <c r="I107" s="804"/>
      <c r="J107" s="516" t="str">
        <f>FHD_NOTE_P_67</f>
        <v/>
      </c>
      <c r="K107" s="770"/>
      <c r="L107" s="1863"/>
      <c r="M107" s="1863"/>
      <c r="R107" s="1863"/>
      <c r="U107" s="771"/>
      <c r="AA107" s="1859"/>
      <c r="AB107" s="1859"/>
      <c r="AC107" s="1859"/>
      <c r="AD107" s="1859"/>
      <c r="AE107" s="1859"/>
      <c r="AF107" s="1387">
        <v>0</v>
      </c>
    </row>
    <row s="13221" customFormat="1" customHeight="1" ht="18.75" hidden="1">
      <c r="A108" s="2598"/>
      <c r="C108" s="1863"/>
      <c r="D108" s="1865"/>
      <c r="E108" s="773" t="str">
        <f>FHD_NUM_P_68</f>
        <v/>
      </c>
      <c r="F108" s="1751" t="str">
        <f>FHD_P_68</f>
        <v/>
      </c>
      <c r="G108" s="2104" t="s">
        <v>592</v>
      </c>
      <c r="H108" s="804"/>
      <c r="I108" s="804"/>
      <c r="J108" s="516" t="str">
        <f>FHD_NOTE_P_68</f>
        <v/>
      </c>
      <c r="K108" s="770"/>
      <c r="L108" s="1863"/>
      <c r="M108" s="1863"/>
      <c r="R108" s="1863"/>
      <c r="U108" s="771"/>
      <c r="AA108" s="1859"/>
      <c r="AB108" s="1859"/>
      <c r="AC108" s="1859"/>
      <c r="AD108" s="1859"/>
      <c r="AE108" s="1859"/>
      <c r="AF108" s="1387">
        <v>0</v>
      </c>
    </row>
    <row s="13221" customFormat="1" customHeight="1" ht="18.75" hidden="1">
      <c r="A109" s="2598"/>
      <c r="C109" s="1863"/>
      <c r="D109" s="1865"/>
      <c r="E109" s="773" t="str">
        <f>FHD_NUM_P_69</f>
        <v/>
      </c>
      <c r="F109" s="1751" t="str">
        <f>FHD_P_69</f>
        <v/>
      </c>
      <c r="G109" s="2104" t="s">
        <v>592</v>
      </c>
      <c r="H109" s="804"/>
      <c r="I109" s="804"/>
      <c r="J109" s="516" t="str">
        <f>FHD_NOTE_P_69</f>
        <v/>
      </c>
      <c r="K109" s="770"/>
      <c r="L109" s="1863"/>
      <c r="M109" s="1863"/>
      <c r="R109" s="1863"/>
      <c r="U109" s="771"/>
      <c r="AA109" s="1859"/>
      <c r="AB109" s="1859"/>
      <c r="AC109" s="1859"/>
      <c r="AD109" s="1859"/>
      <c r="AE109" s="1859"/>
      <c r="AF109" s="1387">
        <v>0</v>
      </c>
    </row>
    <row s="13221" customFormat="1" customHeight="1" ht="22.5" hidden="1">
      <c r="A110" s="2598"/>
      <c r="C110" s="1863"/>
      <c r="D110" s="1865"/>
      <c r="E110" s="773" t="str">
        <f>FHD_NUM_P_70</f>
        <v/>
      </c>
      <c r="F110" s="2107" t="str">
        <f>FHD_P_70</f>
        <v/>
      </c>
      <c r="G110" s="2104" t="s">
        <v>598</v>
      </c>
      <c r="H110" s="784"/>
      <c r="I110" s="784"/>
      <c r="J110" s="516" t="str">
        <f>FHD_NOTE_P_70</f>
        <v/>
      </c>
      <c r="K110" s="770"/>
      <c r="L110" s="1863"/>
      <c r="M110" s="1863"/>
      <c r="R110" s="1863"/>
      <c r="U110" s="771"/>
      <c r="AA110" s="1859"/>
      <c r="AB110" s="1859"/>
      <c r="AC110" s="1859"/>
      <c r="AD110" s="1859"/>
      <c r="AE110" s="1859"/>
      <c r="AF110" s="1387">
        <v>0</v>
      </c>
    </row>
    <row s="13221" customFormat="1" customHeight="1" ht="22.5" hidden="1">
      <c r="A111" s="2598"/>
      <c r="C111" s="1863"/>
      <c r="D111" s="1865"/>
      <c r="E111" s="773" t="str">
        <f>FHD_NUM_P_71</f>
        <v/>
      </c>
      <c r="F111" s="2107" t="str">
        <f>FHD_P_71</f>
        <v/>
      </c>
      <c r="G111" s="2104" t="s">
        <v>598</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599</v>
      </c>
      <c r="H112" s="804"/>
      <c r="I112" s="804"/>
      <c r="J112" s="516" t="str">
        <f>FHD_NOTE_P_72</f>
        <v/>
      </c>
      <c r="K112" s="770"/>
      <c r="AF112" s="1858">
        <v>19</v>
      </c>
    </row>
    <row customHeight="1" ht="18.75" hidden="1">
      <c r="A113" s="1216" t="s">
        <v>600</v>
      </c>
      <c r="D113" s="1865"/>
      <c r="E113" s="773" t="str">
        <f>FHD_NUM_P_73</f>
        <v/>
      </c>
      <c r="F113" s="2107" t="str">
        <f>FHD_P_73</f>
        <v/>
      </c>
      <c r="G113" s="1197" t="s">
        <v>599</v>
      </c>
      <c r="H113" s="1195"/>
      <c r="I113" s="1195"/>
      <c r="J113" s="516" t="str">
        <f>FHD_NOTE_P_73</f>
        <v/>
      </c>
      <c r="K113" s="770"/>
      <c r="AF113" s="1858">
        <v>0</v>
      </c>
    </row>
    <row customHeight="1" ht="33.75">
      <c r="A114" s="1216" t="s">
        <v>601</v>
      </c>
      <c r="D114" s="1865"/>
      <c r="E114" s="773" t="str">
        <f>FHD_NUM_P_74</f>
        <v>13</v>
      </c>
      <c r="F114" s="2107" t="str">
        <f>FHD_P_74</f>
        <v>Удельный расход электрической энергии на подачу воды в сеть</v>
      </c>
      <c r="G114" s="2103" t="s">
        <v>602</v>
      </c>
      <c r="H114" s="804"/>
      <c r="I114" s="804"/>
      <c r="J114" s="516" t="str">
        <f>FHD_NOTE_P_74</f>
        <v/>
      </c>
      <c r="K114" s="770"/>
      <c r="AF114" s="1858">
        <v>0</v>
      </c>
    </row>
    <row s="13141" customFormat="1" customHeight="1" ht="18.75">
      <c r="A115" s="2600" t="s">
        <v>603</v>
      </c>
      <c r="B115" s="1137"/>
      <c r="C115" s="962"/>
      <c r="D115" s="960"/>
      <c r="E115" s="773" t="str">
        <f>FHD_NUM_P_75</f>
        <v>14</v>
      </c>
      <c r="F115" s="2107" t="str">
        <f>FHD_P_75</f>
        <v>Расход воды на собственные нужды, в том числе:</v>
      </c>
      <c r="G115" s="2103" t="s">
        <v>567</v>
      </c>
      <c r="H115" s="784"/>
      <c r="I115" s="784"/>
      <c r="J115" s="516" t="str">
        <f>FHD_NOTE_P_75</f>
        <v>Указывается доля общего расхода воды на собственные нужны от объема отпуска воды потребителям.</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3141" customFormat="1" customHeight="1" ht="18.75">
      <c r="A116" s="2600"/>
      <c r="B116" s="1137"/>
      <c r="C116" s="962"/>
      <c r="D116" s="960"/>
      <c r="E116" s="773" t="str">
        <f>FHD_NUM_P_76</f>
        <v>14.1</v>
      </c>
      <c r="F116" s="2107" t="str">
        <f>FHD_P_76</f>
        <v>Расход воды на хозяйственно-бытовые нужды</v>
      </c>
      <c r="G116" s="2103" t="s">
        <v>567</v>
      </c>
      <c r="H116" s="784"/>
      <c r="I116" s="784"/>
      <c r="J116" s="516" t="str">
        <f>FHD_NOTE_P_76</f>
        <v>Указывается доля расхода воды на хозяйственно-бытовые нужны от объема отпуска воды потребителям.</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3141" customFormat="1" customHeight="1" ht="18.75">
      <c r="A117" s="2600"/>
      <c r="B117" s="1137"/>
      <c r="C117" s="962"/>
      <c r="D117" s="960"/>
      <c r="E117" s="773" t="str">
        <f>FHD_NUM_P_77</f>
        <v>15</v>
      </c>
      <c r="F117" s="2107" t="str">
        <f>FHD_P_77</f>
        <v>Показатель использования производственных объектов (по объему перекачки), в том числе:</v>
      </c>
      <c r="G117" s="2103" t="s">
        <v>567</v>
      </c>
      <c r="H117" s="784"/>
      <c r="I117" s="784"/>
      <c r="J117" s="5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3222" customFormat="1" customHeight="1" ht="0.75">
      <c r="A118" s="2600"/>
      <c r="D118" s="775"/>
      <c r="E118" s="1240" t="str">
        <f>E117&amp;".0"</f>
        <v>15.0</v>
      </c>
      <c r="F118" s="1224"/>
      <c r="G118" s="1878"/>
      <c r="H118" s="1219"/>
      <c r="I118" s="1219"/>
      <c r="J118" s="1223"/>
      <c r="AF118" s="1863">
        <v>0</v>
      </c>
    </row>
    <row s="13141" customFormat="1" customHeight="1" ht="15">
      <c r="A119" s="2600"/>
      <c r="B119" s="1137"/>
      <c r="C119" s="962"/>
      <c r="D119" s="973"/>
      <c r="E119" s="1200"/>
      <c r="F119" s="1201" t="s">
        <v>604</v>
      </c>
      <c r="G119" s="974"/>
      <c r="H119" s="975"/>
      <c r="I119" s="975"/>
      <c r="J119" s="1230" t="s">
        <v>605</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606</v>
      </c>
      <c r="D120" s="1865"/>
      <c r="E120" s="773" t="str">
        <f>FHD_NUM_P_78</f>
        <v/>
      </c>
      <c r="F120" s="2107" t="str">
        <f>FHD_P_78</f>
        <v/>
      </c>
      <c r="G120" s="2104" t="s">
        <v>569</v>
      </c>
      <c r="H120" s="804"/>
      <c r="I120" s="804"/>
      <c r="J120" s="516" t="str">
        <f>FHD_NOTE_P_78</f>
        <v/>
      </c>
      <c r="K120" s="770"/>
      <c r="AF120" s="1858">
        <v>0</v>
      </c>
    </row>
    <row s="13222"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595</v>
      </c>
      <c r="G122" s="799"/>
      <c r="H122" s="800"/>
      <c r="I122" s="800"/>
      <c r="J122" s="1231" t="s">
        <v>607</v>
      </c>
      <c r="K122" s="770"/>
      <c r="AF122" s="1858">
        <v>0</v>
      </c>
    </row>
    <row customHeight="1" ht="22.5" hidden="1">
      <c r="A123" s="2598"/>
      <c r="D123" s="1865"/>
      <c r="E123" s="773" t="str">
        <f>FHD_NUM_P_79</f>
        <v/>
      </c>
      <c r="F123" s="2107" t="str">
        <f>FHD_P_79</f>
        <v/>
      </c>
      <c r="G123" s="2105" t="s">
        <v>571</v>
      </c>
      <c r="H123" s="804"/>
      <c r="I123" s="804"/>
      <c r="J123" s="516" t="str">
        <f>FHD_NOTE_P_79</f>
        <v/>
      </c>
      <c r="K123" s="770"/>
      <c r="AF123" s="1858">
        <v>0</v>
      </c>
    </row>
    <row s="13222"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595</v>
      </c>
      <c r="G125" s="799"/>
      <c r="H125" s="800"/>
      <c r="I125" s="800"/>
      <c r="J125" s="1231" t="s">
        <v>608</v>
      </c>
      <c r="K125" s="770"/>
      <c r="AF125" s="1858">
        <v>0</v>
      </c>
    </row>
    <row customHeight="1" ht="22.5" hidden="1">
      <c r="A126" s="2598"/>
      <c r="D126" s="1865"/>
      <c r="E126" s="773" t="str">
        <f>FHD_NUM_P_80</f>
        <v/>
      </c>
      <c r="F126" s="2107" t="str">
        <f>FHD_P_80</f>
        <v/>
      </c>
      <c r="G126" s="2105" t="s">
        <v>609</v>
      </c>
      <c r="H126" s="784"/>
      <c r="I126" s="784"/>
      <c r="J126" s="516" t="str">
        <f>FHD_NOTE_P_80</f>
        <v/>
      </c>
      <c r="K126" s="770"/>
      <c r="AF126" s="1858">
        <v>0</v>
      </c>
    </row>
    <row customHeight="1" ht="18.75" hidden="1">
      <c r="A127" s="2598"/>
      <c r="D127" s="1865"/>
      <c r="E127" s="773" t="str">
        <f>FHD_NUM_P_81</f>
        <v/>
      </c>
      <c r="F127" s="2107" t="str">
        <f>FHD_P_81</f>
        <v/>
      </c>
      <c r="G127" s="2105" t="s">
        <v>610</v>
      </c>
      <c r="H127" s="784"/>
      <c r="I127" s="784"/>
      <c r="J127" s="516" t="str">
        <f>FHD_NOTE_P_81</f>
        <v/>
      </c>
      <c r="K127" s="770"/>
      <c r="AF127" s="1858">
        <v>0</v>
      </c>
    </row>
    <row customHeight="1" ht="18.75" hidden="1">
      <c r="A128" s="2598"/>
      <c r="C128" s="1863" t="s">
        <v>597</v>
      </c>
      <c r="D128" s="1865"/>
      <c r="E128" s="773" t="str">
        <f>FHD_NUM_P_82</f>
        <v/>
      </c>
      <c r="F128" s="2107" t="str">
        <f>FHD_P_82</f>
        <v/>
      </c>
      <c r="G128" s="2105" t="s">
        <v>311</v>
      </c>
      <c r="H128" s="628"/>
      <c r="I128" s="628"/>
      <c r="J128" s="516" t="str">
        <f>FHD_NOTE_P_82</f>
        <v/>
      </c>
      <c r="K128" s="770"/>
      <c r="AF128" s="1858">
        <v>0</v>
      </c>
    </row>
    <row customHeight="1" ht="18.75" hidden="1">
      <c r="A129" s="2598"/>
      <c r="C129" s="1863" t="s">
        <v>597</v>
      </c>
      <c r="D129" s="1865"/>
      <c r="E129" s="773" t="str">
        <f>FHD_NUM_P_83</f>
        <v/>
      </c>
      <c r="F129" s="1751" t="str">
        <f>FHD_P_83</f>
        <v/>
      </c>
      <c r="G129" s="2105" t="s">
        <v>311</v>
      </c>
      <c r="H129" s="628"/>
      <c r="I129" s="628"/>
      <c r="J129" s="516" t="str">
        <f>FHD_NOTE_P_83</f>
        <v/>
      </c>
      <c r="K129" s="770"/>
      <c r="AF129" s="1858">
        <v>0</v>
      </c>
    </row>
    <row customHeight="1" ht="18.75" hidden="1">
      <c r="A130" s="2598"/>
      <c r="C130" s="1863" t="s">
        <v>597</v>
      </c>
      <c r="D130" s="1865"/>
      <c r="E130" s="773" t="str">
        <f>FHD_NUM_P_84</f>
        <v/>
      </c>
      <c r="F130" s="1751" t="str">
        <f>FHD_P_84</f>
        <v/>
      </c>
      <c r="G130" s="2105" t="s">
        <v>311</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3827"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82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82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827"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82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82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82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82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82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82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82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82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82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82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82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82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82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82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82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82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82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82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82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82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82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82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82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82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82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82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82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82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82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82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82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82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82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82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82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82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82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82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82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82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82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82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82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82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82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82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82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82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82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82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82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82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82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82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82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82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82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82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82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382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382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382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382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382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382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382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3827"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3827"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3827"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3827"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3827"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3827"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3827"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3827"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3827"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3827"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3827"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3827"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3827"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3827"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3827"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3827"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3827"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3827"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3827"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3827"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3827"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3827"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3827"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3827"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3827"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3827"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3827"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3827"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3827"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3827"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3827"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3827"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3827"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3827"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3827"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3827"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3827"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3827"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3827"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3827"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3827"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3827"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3827"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3827"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3827"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3827"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3827"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3827"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3827"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3827"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3827"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3827"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3827"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3827"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3827"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3827"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3827"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3827"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3827"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3827"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3827"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3827"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3827"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3827"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3827"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3827"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3827"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3827"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3827"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3827"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3827"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3827"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3827"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3827"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3827"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3827"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3827"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3827"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3827"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3827"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3827"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3827"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3827"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3827"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3827"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3827"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BC631-239D-ED6A-2435-5785BC1D868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355" width="14.7109375" hidden="1" customWidth="1"/>
    <col min="2" max="2" style="13105" width="17.00390625" hidden="1" customWidth="1"/>
    <col min="3" max="3" style="13141" width="3.00390625" customWidth="1"/>
    <col min="4" max="4" style="13141" width="1.8515625" hidden="1" customWidth="1"/>
    <col min="5" max="6" style="13141" width="7.00390625" customWidth="1"/>
    <col min="7" max="7" style="13141" width="29.00390625" customWidth="1"/>
    <col min="8" max="8" style="13141" width="3.7109375" customWidth="1"/>
    <col min="9" max="9" style="13141" width="5.00390625" customWidth="1"/>
    <col min="10" max="11" style="13141" width="24.00390625" customWidth="1"/>
    <col min="12" max="12" style="13141" width="3.00390625" customWidth="1"/>
    <col min="13" max="13" style="13141" width="6.00390625" customWidth="1"/>
    <col min="14" max="14" style="13141" width="25.00390625" customWidth="1"/>
    <col min="15" max="18" style="13141" width="18.00390625" customWidth="1"/>
    <col min="19" max="19" style="13141" width="93.00390625" customWidth="1"/>
    <col min="20" max="20" style="13141" width="10.00390625" customWidth="1"/>
    <col min="21" max="21" style="13222" width="10.00390625" customWidth="1"/>
    <col min="22" max="22" style="13222" width="11.00390625" customWidth="1"/>
    <col min="23" max="27" style="13105" width="10.00390625" customWidth="1"/>
    <col min="28" max="83" style="13141" width="8.00390625" customWidth="1"/>
    <col min="84" max="84" style="13141"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3141" customFormat="1" customHeight="1" ht="16.8">
      <c r="A6" s="837"/>
      <c r="B6" s="986"/>
      <c r="C6" s="736"/>
      <c r="D6" s="1285"/>
      <c r="E6" s="2403" t="str">
        <f>IF(org=0,"Не определено",org)</f>
        <v>МУП "Уссурийск-Водоканал"</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3827"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88</v>
      </c>
      <c r="E10" s="2354" t="s">
        <v>88</v>
      </c>
      <c r="F10" s="2354"/>
      <c r="G10" s="748" t="s">
        <v>307</v>
      </c>
      <c r="H10" s="2354" t="s">
        <v>88</v>
      </c>
      <c r="I10" s="2354"/>
      <c r="J10" s="748" t="s">
        <v>611</v>
      </c>
      <c r="K10" s="748" t="s">
        <v>612</v>
      </c>
      <c r="L10" s="2354" t="s">
        <v>88</v>
      </c>
      <c r="M10" s="2354"/>
      <c r="N10" s="748" t="s">
        <v>613</v>
      </c>
      <c r="O10" s="748" t="s">
        <v>614</v>
      </c>
      <c r="P10" s="748" t="s">
        <v>615</v>
      </c>
      <c r="Q10" s="748" t="s">
        <v>616</v>
      </c>
      <c r="R10" s="748" t="s">
        <v>617</v>
      </c>
      <c r="S10" s="2354"/>
      <c r="T10" s="561"/>
      <c r="CF10" s="732">
        <v>46</v>
      </c>
    </row>
    <row s="13222" customFormat="1" customHeight="1" ht="15" hidden="1">
      <c r="A11" s="1279"/>
      <c r="D11" s="1252" t="s">
        <v>109</v>
      </c>
      <c r="E11" s="1252"/>
      <c r="F11" s="1252" t="s">
        <v>110</v>
      </c>
      <c r="G11" s="1252" t="s">
        <v>90</v>
      </c>
      <c r="H11" s="1252"/>
      <c r="I11" s="1252" t="s">
        <v>91</v>
      </c>
      <c r="J11" s="1252" t="s">
        <v>111</v>
      </c>
      <c r="K11" s="1252" t="s">
        <v>92</v>
      </c>
      <c r="L11" s="1252"/>
      <c r="M11" s="1252" t="s">
        <v>93</v>
      </c>
      <c r="N11" s="1252" t="s">
        <v>112</v>
      </c>
      <c r="O11" s="1252" t="s">
        <v>148</v>
      </c>
      <c r="P11" s="1252" t="s">
        <v>149</v>
      </c>
      <c r="Q11" s="1252" t="s">
        <v>150</v>
      </c>
      <c r="R11" s="1252" t="s">
        <v>151</v>
      </c>
      <c r="S11" s="1252" t="s">
        <v>152</v>
      </c>
      <c r="U11" s="838"/>
      <c r="V11" s="838"/>
      <c r="W11" s="838"/>
      <c r="CF11" s="738">
        <v>0</v>
      </c>
    </row>
    <row s="13141" customFormat="1" customHeight="1" ht="1.05">
      <c r="A12" s="842"/>
      <c r="B12" s="589"/>
      <c r="D12" s="775"/>
      <c r="E12" s="573"/>
      <c r="F12" s="573"/>
      <c r="Q12" s="843"/>
      <c r="R12" s="844"/>
      <c r="T12" s="845"/>
      <c r="U12" s="846"/>
      <c r="V12" s="846"/>
      <c r="W12" s="847"/>
      <c r="X12" s="589"/>
      <c r="Y12" s="589"/>
      <c r="Z12" s="589"/>
      <c r="AA12" s="589"/>
      <c r="CF12" s="736">
        <v>1</v>
      </c>
    </row>
    <row s="13827"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3282" customFormat="1" customHeight="1" ht="15" hidden="1">
      <c r="A14" s="850" t="s">
        <v>117</v>
      </c>
      <c r="B14" s="851"/>
      <c r="C14" s="851"/>
      <c r="D14" s="2607" t="s">
        <v>109</v>
      </c>
      <c r="E14" s="2604" t="s">
        <v>105</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618</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3282" customFormat="1" customHeight="1" ht="15" hidden="1">
      <c r="A15" s="850"/>
      <c r="B15" s="851"/>
      <c r="C15" s="851"/>
      <c r="D15" s="2608"/>
      <c r="E15" s="2604" t="s">
        <v>573</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3282" customFormat="1" customHeight="1" ht="15" hidden="1">
      <c r="A16" s="850"/>
      <c r="B16" s="851"/>
      <c r="C16" s="851"/>
      <c r="D16" s="2608"/>
      <c r="E16" s="2604" t="s">
        <v>574</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3282" customFormat="1" customHeight="1" ht="22.5" hidden="1">
      <c r="A17" s="860"/>
      <c r="B17" s="644"/>
      <c r="C17" s="639"/>
      <c r="D17" s="2608"/>
      <c r="E17" s="2603" t="s">
        <v>619</v>
      </c>
      <c r="F17" s="2603"/>
      <c r="G17" s="2603"/>
      <c r="H17" s="2603"/>
      <c r="I17" s="2603"/>
      <c r="J17" s="2603"/>
      <c r="K17" s="2603"/>
      <c r="L17" s="2603"/>
      <c r="M17" s="2603"/>
      <c r="N17" s="2603"/>
      <c r="O17" s="2603"/>
      <c r="P17" s="2603"/>
      <c r="Q17" s="785">
        <f>SUMIF(T18:T19,"i",Q18:Q19)</f>
        <v>0</v>
      </c>
      <c r="R17" s="1244"/>
      <c r="S17" s="1124" t="s">
        <v>620</v>
      </c>
      <c r="T17" s="944" t="s">
        <v>621</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3282"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3282"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3282" customFormat="1" customHeight="1" ht="22.5" hidden="1">
      <c r="A20" s="860"/>
      <c r="B20" s="644"/>
      <c r="C20" s="639"/>
      <c r="D20" s="2608"/>
      <c r="E20" s="2603" t="s">
        <v>622</v>
      </c>
      <c r="F20" s="2603"/>
      <c r="G20" s="2603"/>
      <c r="H20" s="2603"/>
      <c r="I20" s="2603"/>
      <c r="J20" s="2603"/>
      <c r="K20" s="2603"/>
      <c r="L20" s="2603"/>
      <c r="M20" s="2603"/>
      <c r="N20" s="2603"/>
      <c r="O20" s="2603"/>
      <c r="P20" s="2603"/>
      <c r="Q20" s="785">
        <f>SUMIF(T21:T22,"i",Q21:Q22)</f>
        <v>0</v>
      </c>
      <c r="R20" s="1244"/>
      <c r="S20" s="936" t="s">
        <v>623</v>
      </c>
      <c r="T20" s="944" t="s">
        <v>621</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3282"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3282"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11DCA-6475-A3D5-229E-71308501BDB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5287" width="10.7109375" hidden="1" customWidth="1"/>
    <col min="6" max="6" style="13221" width="16.8515625" hidden="1" customWidth="1"/>
    <col min="7" max="7" style="13222" width="5.57421875" hidden="1" customWidth="1"/>
    <col min="8" max="8" style="13141" width="3.00390625" customWidth="1"/>
    <col min="9" max="9" style="13141" width="7.00390625" customWidth="1"/>
    <col min="10" max="10" style="13141" width="56.00390625" customWidth="1"/>
    <col min="11" max="11" style="13141" width="10.00390625" customWidth="1"/>
    <col min="12" max="12" style="13141" width="40.57421875" hidden="1" customWidth="1"/>
    <col min="13" max="13" style="13141" width="40.7109375" customWidth="1"/>
    <col min="14" max="14" style="13221" width="9.7109375" hidden="1" customWidth="1"/>
    <col min="15" max="15" style="13141" width="102.00390625" customWidth="1"/>
    <col min="16" max="16" style="13221" width="9.00390625" customWidth="1"/>
    <col min="17" max="17" style="13222" width="5.00390625" customWidth="1"/>
    <col min="18" max="18" style="13222" width="3.00390625" customWidth="1"/>
    <col min="19" max="22" style="13221" width="3.00390625" customWidth="1"/>
    <col min="23" max="23" style="13222" width="10.00390625" customWidth="1"/>
    <col min="24" max="24" style="13221" width="34.00390625" customWidth="1"/>
    <col min="25" max="25" style="13221" width="9.00390625" customWidth="1"/>
    <col min="26" max="26" style="15288" width="8.00390625" customWidth="1"/>
    <col min="27" max="31" style="13221" width="8.00390625" customWidth="1"/>
    <col min="32" max="36" style="13105" width="8.00390625" customWidth="1"/>
    <col min="37" max="37" style="13141" width="5.421875" hidden="1" customWidth="1"/>
  </cols>
  <sheetData>
    <row s="13221" customFormat="1" customHeight="1" ht="33.75" hidden="1">
      <c r="A1" s="1214"/>
      <c r="B1" s="1214"/>
      <c r="C1" s="1214"/>
      <c r="D1" s="1214"/>
      <c r="E1" s="1214"/>
      <c r="G1" s="1863"/>
      <c r="H1" s="1105"/>
      <c r="L1" s="1593">
        <v>4</v>
      </c>
      <c r="M1" s="1593">
        <v>4</v>
      </c>
      <c r="Q1" s="1863"/>
      <c r="R1" s="1863"/>
      <c r="W1" s="1863"/>
      <c r="AK1" s="1593" t="s">
        <v>14</v>
      </c>
    </row>
    <row s="13221" customFormat="1" customHeight="1" ht="78.75" hidden="1">
      <c r="A2" s="1214"/>
      <c r="B2" s="2280" t="s">
        <v>624</v>
      </c>
      <c r="C2" s="2280" t="s">
        <v>625</v>
      </c>
      <c r="D2" s="2279" t="s">
        <v>626</v>
      </c>
      <c r="E2" s="2283">
        <f>RIGHT(I2,LEN(I2)-SEARCH("#",SUBSTITUTE(I2,".","#",LEN(I2)-LEN(SUBSTITUTE(I2,".","")))))</f>
      </c>
      <c r="F2" s="2285">
        <f>J2</f>
        <v>0</v>
      </c>
      <c r="G2" s="1863"/>
      <c r="H2" s="2286"/>
      <c r="I2" s="2276"/>
      <c r="J2" s="767"/>
      <c r="K2" s="2246" t="s">
        <v>565</v>
      </c>
      <c r="L2" s="978"/>
      <c r="M2" s="978"/>
      <c r="N2" s="770"/>
      <c r="O2" s="1752" t="s">
        <v>566</v>
      </c>
      <c r="P2" s="770"/>
      <c r="Q2" s="1863"/>
      <c r="R2" s="1863"/>
      <c r="W2" s="1863"/>
      <c r="Z2" s="771"/>
      <c r="AF2" s="1859"/>
      <c r="AG2" s="1859"/>
      <c r="AH2" s="1859"/>
      <c r="AI2" s="1859"/>
      <c r="AJ2" s="1859"/>
      <c r="AK2" s="1593">
        <v>0</v>
      </c>
    </row>
    <row customHeight="1" ht="11.25" hidden="1">
      <c r="E3" s="2278" t="s">
        <v>627</v>
      </c>
      <c r="L3" s="1858">
        <f>0</f>
        <v>0</v>
      </c>
      <c r="M3" s="1858">
        <v>1</v>
      </c>
      <c r="AK3" s="1858">
        <v>0</v>
      </c>
    </row>
    <row s="13105"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628</v>
      </c>
      <c r="J6" s="2534"/>
      <c r="K6" s="2534"/>
      <c r="L6" s="2534"/>
      <c r="M6" s="2534"/>
      <c r="O6" s="783"/>
      <c r="AK6" s="1858">
        <v>55</v>
      </c>
    </row>
    <row customHeight="1" ht="25.2">
      <c r="I7" s="2476" t="str">
        <f>IF(org=0,"Не определено",org)</f>
        <v>МУП "Уссурийск-Водоканал"</v>
      </c>
      <c r="J7" s="2476"/>
      <c r="K7" s="2476"/>
      <c r="L7" s="2476"/>
      <c r="M7" s="2476"/>
      <c r="AK7" s="1858">
        <v>24</v>
      </c>
    </row>
    <row customHeight="1" ht="11.549999999999999">
      <c r="I8" s="1362"/>
      <c r="J8" s="1362"/>
      <c r="K8" s="1362"/>
      <c r="L8" s="1362"/>
      <c r="M8" s="1362"/>
      <c r="AK8" s="1858">
        <v>11</v>
      </c>
    </row>
    <row s="13222" customFormat="1" customHeight="1" ht="30" hidden="1">
      <c r="A9" s="1394"/>
      <c r="B9" s="1394"/>
      <c r="C9" s="1394"/>
      <c r="E9" s="1394"/>
      <c r="H9" s="1869"/>
      <c r="L9" s="1116"/>
      <c r="M9" s="1116" t="s">
        <v>117</v>
      </c>
      <c r="AK9" s="1863">
        <v>1</v>
      </c>
    </row>
    <row customHeight="1" ht="11.549999999999999">
      <c r="E10" s="2277" t="s">
        <v>629</v>
      </c>
      <c r="I10" s="938"/>
      <c r="J10" s="2594" t="s">
        <v>105</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630</v>
      </c>
      <c r="I11" s="938"/>
      <c r="J11" s="2594" t="s">
        <v>573</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631</v>
      </c>
      <c r="I12" s="1889"/>
      <c r="J12" s="2594" t="s">
        <v>574</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632</v>
      </c>
      <c r="F13" s="2277" t="s">
        <v>633</v>
      </c>
      <c r="I13" s="2596" t="s">
        <v>305</v>
      </c>
      <c r="J13" s="2597"/>
      <c r="K13" s="2597"/>
      <c r="L13" s="2254"/>
      <c r="M13" s="2294"/>
      <c r="O13" s="2354"/>
      <c r="AK13" s="1858">
        <v>11</v>
      </c>
    </row>
    <row customHeight="1" ht="24">
      <c r="I14" s="2247" t="s">
        <v>88</v>
      </c>
      <c r="J14" s="2247" t="s">
        <v>307</v>
      </c>
      <c r="K14" s="2247" t="s">
        <v>575</v>
      </c>
      <c r="L14" s="2287" t="s">
        <v>308</v>
      </c>
      <c r="M14" s="2288" t="s">
        <v>308</v>
      </c>
      <c r="O14" s="2354"/>
      <c r="AK14" s="1858">
        <v>23</v>
      </c>
    </row>
    <row customHeight="1" ht="24">
      <c r="A15" s="2281"/>
      <c r="B15" s="2280" t="s">
        <v>634</v>
      </c>
      <c r="C15" s="2280" t="s">
        <v>635</v>
      </c>
      <c r="D15" s="2279" t="s">
        <v>636</v>
      </c>
      <c r="E15" s="2283" t="s">
        <v>637</v>
      </c>
      <c r="F15" s="2283" t="s">
        <v>637</v>
      </c>
      <c r="G15" s="1863" t="s">
        <v>597</v>
      </c>
      <c r="H15" s="2248"/>
      <c r="I15" s="1857">
        <v>1</v>
      </c>
      <c r="J15" s="2249" t="s">
        <v>638</v>
      </c>
      <c r="K15" s="2247" t="s">
        <v>311</v>
      </c>
      <c r="L15" s="889"/>
      <c r="M15" s="1045"/>
      <c r="N15" s="770" t="s">
        <v>639</v>
      </c>
      <c r="O15" s="1752" t="s">
        <v>640</v>
      </c>
      <c r="P15" s="770" t="s">
        <v>639</v>
      </c>
      <c r="AK15" s="1858">
        <v>23</v>
      </c>
    </row>
    <row customHeight="1" ht="35.699999999999996">
      <c r="A16" s="2281"/>
      <c r="B16" s="2280" t="s">
        <v>641</v>
      </c>
      <c r="C16" s="2280" t="s">
        <v>642</v>
      </c>
      <c r="D16" s="2279" t="s">
        <v>626</v>
      </c>
      <c r="E16" s="2283" t="s">
        <v>637</v>
      </c>
      <c r="F16" s="2283" t="s">
        <v>637</v>
      </c>
      <c r="H16" s="2248"/>
      <c r="I16" s="1856">
        <v>2</v>
      </c>
      <c r="J16" s="2290" t="s">
        <v>643</v>
      </c>
      <c r="K16" s="2289" t="s">
        <v>565</v>
      </c>
      <c r="L16" s="2295"/>
      <c r="M16" s="1903"/>
      <c r="N16" s="770" t="s">
        <v>639</v>
      </c>
      <c r="O16" s="1752" t="s">
        <v>644</v>
      </c>
      <c r="P16" s="770" t="s">
        <v>639</v>
      </c>
      <c r="AK16" s="1858">
        <v>34</v>
      </c>
    </row>
    <row s="13222" customFormat="1" customHeight="1" ht="17.25" hidden="1">
      <c r="A17" s="1394"/>
      <c r="B17" s="1394"/>
      <c r="C17" s="1394"/>
      <c r="D17" s="1394"/>
      <c r="E17" s="1394"/>
      <c r="H17" s="1551"/>
      <c r="I17" s="1240" t="s">
        <v>645</v>
      </c>
      <c r="J17" s="1218"/>
      <c r="K17" s="1240"/>
      <c r="L17" s="1219"/>
      <c r="M17" s="1219"/>
      <c r="O17" s="1612"/>
      <c r="AK17" s="1863">
        <v>1</v>
      </c>
    </row>
    <row s="13221" customFormat="1" customHeight="1" ht="24">
      <c r="A18" s="1214"/>
      <c r="B18" s="1214"/>
      <c r="C18" s="1214"/>
      <c r="D18" s="1214"/>
      <c r="E18" s="1214"/>
      <c r="G18" s="1863"/>
      <c r="H18" s="1860"/>
      <c r="I18" s="797"/>
      <c r="J18" s="798" t="s">
        <v>595</v>
      </c>
      <c r="K18" s="799"/>
      <c r="L18" s="2297"/>
      <c r="M18" s="800"/>
      <c r="N18" s="770"/>
      <c r="O18" s="1752" t="s">
        <v>596</v>
      </c>
      <c r="P18" s="770"/>
      <c r="Q18" s="1863"/>
      <c r="R18" s="1863"/>
      <c r="W18" s="1863"/>
      <c r="Z18" s="771"/>
      <c r="AF18" s="1859"/>
      <c r="AG18" s="1859"/>
      <c r="AH18" s="1859"/>
      <c r="AI18" s="1859"/>
      <c r="AJ18" s="1859"/>
      <c r="AK18" s="1593">
        <v>23</v>
      </c>
    </row>
    <row customHeight="1" ht="19.95">
      <c r="A19" s="2281"/>
      <c r="B19" s="2280" t="s">
        <v>646</v>
      </c>
      <c r="C19" s="2280" t="s">
        <v>647</v>
      </c>
      <c r="D19" s="2279" t="s">
        <v>626</v>
      </c>
      <c r="E19" s="2283" t="s">
        <v>637</v>
      </c>
      <c r="F19" s="2283" t="s">
        <v>637</v>
      </c>
      <c r="H19" s="2248"/>
      <c r="I19" s="1891">
        <v>3</v>
      </c>
      <c r="J19" s="2249" t="s">
        <v>647</v>
      </c>
      <c r="K19" s="2245" t="s">
        <v>565</v>
      </c>
      <c r="L19" s="954"/>
      <c r="M19" s="784"/>
      <c r="N19" s="770"/>
      <c r="O19" s="1752" t="s">
        <v>648</v>
      </c>
      <c r="P19" s="770"/>
      <c r="AK19" s="1858">
        <v>19</v>
      </c>
    </row>
    <row customHeight="1" ht="77.7">
      <c r="A20" s="2281"/>
      <c r="B20" s="2280" t="s">
        <v>649</v>
      </c>
      <c r="C20" s="2280" t="s">
        <v>650</v>
      </c>
      <c r="D20" s="2279" t="s">
        <v>626</v>
      </c>
      <c r="E20" s="2283" t="s">
        <v>637</v>
      </c>
      <c r="F20" s="2283" t="s">
        <v>637</v>
      </c>
      <c r="H20" s="2248"/>
      <c r="I20" s="1891">
        <v>4</v>
      </c>
      <c r="J20" s="2249" t="s">
        <v>651</v>
      </c>
      <c r="K20" s="2245" t="s">
        <v>592</v>
      </c>
      <c r="L20" s="954"/>
      <c r="M20" s="784"/>
      <c r="N20" s="770"/>
      <c r="O20" s="1752"/>
      <c r="P20" s="770"/>
      <c r="AK20" s="1858">
        <v>74</v>
      </c>
    </row>
    <row customHeight="1" ht="35.699999999999996">
      <c r="A21" s="2281"/>
      <c r="B21" s="2280" t="s">
        <v>652</v>
      </c>
      <c r="C21" s="2280" t="s">
        <v>653</v>
      </c>
      <c r="D21" s="2279" t="s">
        <v>626</v>
      </c>
      <c r="E21" s="2283" t="s">
        <v>637</v>
      </c>
      <c r="F21" s="2283" t="s">
        <v>637</v>
      </c>
      <c r="H21" s="2248"/>
      <c r="I21" s="1891">
        <v>5</v>
      </c>
      <c r="J21" s="2249" t="s">
        <v>654</v>
      </c>
      <c r="K21" s="2245" t="s">
        <v>592</v>
      </c>
      <c r="L21" s="954"/>
      <c r="M21" s="784"/>
      <c r="N21" s="770"/>
      <c r="O21" s="1752" t="s">
        <v>648</v>
      </c>
      <c r="P21" s="770"/>
      <c r="AK21" s="1858">
        <v>34</v>
      </c>
    </row>
    <row customHeight="1" ht="48.29999999999999">
      <c r="A22" s="2281"/>
      <c r="B22" s="2280" t="s">
        <v>655</v>
      </c>
      <c r="C22" s="2280" t="s">
        <v>656</v>
      </c>
      <c r="D22" s="2279" t="s">
        <v>626</v>
      </c>
      <c r="E22" s="2283" t="s">
        <v>637</v>
      </c>
      <c r="F22" s="2283" t="s">
        <v>637</v>
      </c>
      <c r="H22" s="2248"/>
      <c r="I22" s="1891">
        <v>6</v>
      </c>
      <c r="J22" s="2249" t="s">
        <v>657</v>
      </c>
      <c r="K22" s="2245" t="s">
        <v>592</v>
      </c>
      <c r="L22" s="954"/>
      <c r="M22" s="784"/>
      <c r="N22" s="770"/>
      <c r="O22" s="1752" t="s">
        <v>658</v>
      </c>
      <c r="P22" s="770"/>
      <c r="AK22" s="1858">
        <v>46</v>
      </c>
    </row>
    <row customHeight="1" ht="19.95">
      <c r="A23" s="2281"/>
      <c r="B23" s="2280" t="s">
        <v>659</v>
      </c>
      <c r="C23" s="2280" t="s">
        <v>660</v>
      </c>
      <c r="D23" s="2279" t="s">
        <v>626</v>
      </c>
      <c r="E23" s="2283" t="s">
        <v>637</v>
      </c>
      <c r="F23" s="2283" t="s">
        <v>637</v>
      </c>
      <c r="H23" s="2248"/>
      <c r="I23" s="1891" t="s">
        <v>661</v>
      </c>
      <c r="J23" s="1751" t="s">
        <v>662</v>
      </c>
      <c r="K23" s="2245" t="s">
        <v>592</v>
      </c>
      <c r="L23" s="954"/>
      <c r="M23" s="784"/>
      <c r="N23" s="770"/>
      <c r="O23" s="1752" t="s">
        <v>648</v>
      </c>
      <c r="P23" s="770"/>
      <c r="AK23" s="1858">
        <v>19</v>
      </c>
    </row>
    <row customHeight="1" ht="19.95">
      <c r="A24" s="2281"/>
      <c r="B24" s="2280" t="s">
        <v>663</v>
      </c>
      <c r="C24" s="2280" t="s">
        <v>664</v>
      </c>
      <c r="D24" s="2279" t="s">
        <v>626</v>
      </c>
      <c r="E24" s="2283" t="s">
        <v>637</v>
      </c>
      <c r="F24" s="2283" t="s">
        <v>637</v>
      </c>
      <c r="H24" s="2248"/>
      <c r="I24" s="1891" t="s">
        <v>665</v>
      </c>
      <c r="J24" s="1751" t="s">
        <v>666</v>
      </c>
      <c r="K24" s="2245" t="s">
        <v>592</v>
      </c>
      <c r="L24" s="954"/>
      <c r="M24" s="784"/>
      <c r="N24" s="770"/>
      <c r="O24" s="1752"/>
      <c r="P24" s="770"/>
      <c r="AK24" s="1858">
        <v>19</v>
      </c>
    </row>
    <row customHeight="1" ht="24">
      <c r="A25" s="2281"/>
      <c r="B25" s="2280" t="s">
        <v>667</v>
      </c>
      <c r="C25" s="2280" t="s">
        <v>668</v>
      </c>
      <c r="D25" s="2279" t="s">
        <v>626</v>
      </c>
      <c r="E25" s="2283" t="s">
        <v>637</v>
      </c>
      <c r="F25" s="2283" t="s">
        <v>637</v>
      </c>
      <c r="H25" s="2248"/>
      <c r="I25" s="1891" t="s">
        <v>669</v>
      </c>
      <c r="J25" s="1751" t="s">
        <v>670</v>
      </c>
      <c r="K25" s="2245" t="s">
        <v>592</v>
      </c>
      <c r="L25" s="954"/>
      <c r="M25" s="784"/>
      <c r="N25" s="770"/>
      <c r="O25" s="1752"/>
      <c r="P25" s="770"/>
      <c r="AK25" s="1858">
        <v>23</v>
      </c>
    </row>
    <row customHeight="1" ht="24">
      <c r="A26" s="2281"/>
      <c r="B26" s="2280" t="s">
        <v>671</v>
      </c>
      <c r="C26" s="2280" t="s">
        <v>672</v>
      </c>
      <c r="D26" s="2279" t="s">
        <v>626</v>
      </c>
      <c r="E26" s="2283" t="s">
        <v>637</v>
      </c>
      <c r="F26" s="2283" t="s">
        <v>637</v>
      </c>
      <c r="H26" s="2248"/>
      <c r="I26" s="1891">
        <v>7</v>
      </c>
      <c r="J26" s="2249" t="s">
        <v>672</v>
      </c>
      <c r="K26" s="2245" t="s">
        <v>673</v>
      </c>
      <c r="L26" s="954"/>
      <c r="M26" s="784"/>
      <c r="N26" s="770"/>
      <c r="O26" s="1752"/>
      <c r="P26" s="770"/>
      <c r="AK26" s="1858">
        <v>23</v>
      </c>
    </row>
    <row customHeight="1" ht="24">
      <c r="A27" s="2281"/>
      <c r="B27" s="2280" t="s">
        <v>674</v>
      </c>
      <c r="C27" s="2280" t="s">
        <v>675</v>
      </c>
      <c r="D27" s="2279" t="s">
        <v>626</v>
      </c>
      <c r="E27" s="2283" t="s">
        <v>637</v>
      </c>
      <c r="F27" s="2283" t="s">
        <v>637</v>
      </c>
      <c r="H27" s="2248"/>
      <c r="I27" s="1891">
        <v>8</v>
      </c>
      <c r="J27" s="2249" t="s">
        <v>675</v>
      </c>
      <c r="K27" s="2245" t="s">
        <v>598</v>
      </c>
      <c r="L27" s="954"/>
      <c r="M27" s="784"/>
      <c r="N27" s="770"/>
      <c r="O27" s="1752"/>
      <c r="P27" s="770"/>
      <c r="AK27" s="1858">
        <v>23</v>
      </c>
    </row>
    <row customHeight="1" ht="35.699999999999996">
      <c r="A28" s="2281"/>
      <c r="B28" s="2280" t="s">
        <v>676</v>
      </c>
      <c r="C28" s="2280" t="s">
        <v>677</v>
      </c>
      <c r="D28" s="2279" t="s">
        <v>626</v>
      </c>
      <c r="E28" s="2283" t="s">
        <v>637</v>
      </c>
      <c r="F28" s="2283" t="s">
        <v>637</v>
      </c>
      <c r="H28" s="2248"/>
      <c r="I28" s="1902">
        <v>9</v>
      </c>
      <c r="J28" s="2249" t="s">
        <v>678</v>
      </c>
      <c r="K28" s="2245" t="s">
        <v>569</v>
      </c>
      <c r="L28" s="954"/>
      <c r="M28" s="784"/>
      <c r="N28" s="770"/>
      <c r="O28" s="1752"/>
      <c r="P28" s="770"/>
      <c r="AK28" s="1858">
        <v>34</v>
      </c>
    </row>
    <row customHeight="1" ht="35.699999999999996">
      <c r="A29" s="2281"/>
      <c r="B29" s="2280" t="s">
        <v>679</v>
      </c>
      <c r="C29" s="2280" t="s">
        <v>680</v>
      </c>
      <c r="D29" s="2279" t="s">
        <v>626</v>
      </c>
      <c r="E29" s="2283" t="s">
        <v>637</v>
      </c>
      <c r="F29" s="2283" t="s">
        <v>637</v>
      </c>
      <c r="H29" s="2248"/>
      <c r="I29" s="1902">
        <v>10</v>
      </c>
      <c r="J29" s="2249" t="s">
        <v>681</v>
      </c>
      <c r="K29" s="2245" t="s">
        <v>569</v>
      </c>
      <c r="L29" s="954"/>
      <c r="M29" s="784"/>
      <c r="N29" s="770"/>
      <c r="O29" s="1752"/>
      <c r="P29" s="770"/>
      <c r="AK29" s="1858">
        <v>34</v>
      </c>
    </row>
    <row customHeight="1" ht="24">
      <c r="A30" s="2281"/>
      <c r="B30" s="2280" t="s">
        <v>682</v>
      </c>
      <c r="C30" s="2280" t="s">
        <v>683</v>
      </c>
      <c r="D30" s="2279" t="s">
        <v>626</v>
      </c>
      <c r="E30" s="2283" t="s">
        <v>637</v>
      </c>
      <c r="F30" s="2283" t="s">
        <v>637</v>
      </c>
      <c r="H30" s="2248"/>
      <c r="I30" s="1902">
        <v>11</v>
      </c>
      <c r="J30" s="2249" t="s">
        <v>683</v>
      </c>
      <c r="K30" s="2245" t="s">
        <v>599</v>
      </c>
      <c r="L30" s="2296"/>
      <c r="M30" s="1848"/>
      <c r="N30" s="770"/>
      <c r="O30" s="1752"/>
      <c r="P30" s="770"/>
      <c r="AK30" s="1858">
        <v>23</v>
      </c>
    </row>
    <row customHeight="1" ht="24">
      <c r="A31" s="2281"/>
      <c r="B31" s="2280" t="s">
        <v>684</v>
      </c>
      <c r="C31" s="2280" t="s">
        <v>685</v>
      </c>
      <c r="D31" s="2279" t="s">
        <v>626</v>
      </c>
      <c r="E31" s="2283" t="s">
        <v>637</v>
      </c>
      <c r="F31" s="2283" t="s">
        <v>637</v>
      </c>
      <c r="H31" s="2248"/>
      <c r="I31" s="1902">
        <v>12</v>
      </c>
      <c r="J31" s="2249" t="s">
        <v>685</v>
      </c>
      <c r="K31" s="2245" t="s">
        <v>599</v>
      </c>
      <c r="L31" s="2296"/>
      <c r="M31" s="1848"/>
      <c r="N31" s="770"/>
      <c r="O31" s="1752"/>
      <c r="P31" s="770"/>
      <c r="AK31" s="1858">
        <v>23</v>
      </c>
    </row>
    <row customHeight="1" ht="48.29999999999999">
      <c r="A32" s="2281"/>
      <c r="B32" s="2280" t="s">
        <v>686</v>
      </c>
      <c r="C32" s="2280" t="s">
        <v>687</v>
      </c>
      <c r="D32" s="2279" t="s">
        <v>626</v>
      </c>
      <c r="E32" s="2283" t="s">
        <v>637</v>
      </c>
      <c r="F32" s="2283" t="s">
        <v>637</v>
      </c>
      <c r="H32" s="2248"/>
      <c r="I32" s="1902">
        <v>13</v>
      </c>
      <c r="J32" s="2249" t="s">
        <v>688</v>
      </c>
      <c r="K32" s="2245" t="s">
        <v>609</v>
      </c>
      <c r="L32" s="954"/>
      <c r="M32" s="784"/>
      <c r="N32" s="770"/>
      <c r="O32" s="1752" t="s">
        <v>648</v>
      </c>
      <c r="P32" s="770"/>
      <c r="AK32" s="1858">
        <v>46</v>
      </c>
    </row>
    <row s="13221" customFormat="1" customHeight="1" ht="48.29999999999999">
      <c r="A33" s="2281"/>
      <c r="B33" s="2280" t="s">
        <v>689</v>
      </c>
      <c r="C33" s="2280" t="s">
        <v>690</v>
      </c>
      <c r="D33" s="2279" t="s">
        <v>626</v>
      </c>
      <c r="E33" s="2283" t="s">
        <v>637</v>
      </c>
      <c r="F33" s="2283" t="s">
        <v>637</v>
      </c>
      <c r="G33" s="1863"/>
      <c r="H33" s="2248"/>
      <c r="I33" s="1902">
        <v>14</v>
      </c>
      <c r="J33" s="2261" t="s">
        <v>691</v>
      </c>
      <c r="K33" s="2250" t="s">
        <v>692</v>
      </c>
      <c r="L33" s="954"/>
      <c r="M33" s="784"/>
      <c r="N33" s="770"/>
      <c r="O33" s="1752" t="s">
        <v>648</v>
      </c>
      <c r="P33" s="770"/>
      <c r="Q33" s="1863"/>
      <c r="R33" s="1863"/>
      <c r="W33" s="1863"/>
      <c r="Z33" s="771"/>
      <c r="AF33" s="1859"/>
      <c r="AG33" s="1859"/>
      <c r="AH33" s="1859"/>
      <c r="AI33" s="1859"/>
      <c r="AJ33" s="1859"/>
      <c r="AK33" s="1593">
        <v>46</v>
      </c>
    </row>
    <row customHeight="1" ht="108">
      <c r="A34" s="2281"/>
      <c r="B34" s="2280" t="s">
        <v>693</v>
      </c>
      <c r="C34" s="2280" t="s">
        <v>694</v>
      </c>
      <c r="D34" s="2279" t="s">
        <v>636</v>
      </c>
      <c r="E34" s="2283" t="s">
        <v>637</v>
      </c>
      <c r="F34" s="2283" t="s">
        <v>637</v>
      </c>
      <c r="G34" s="1863" t="s">
        <v>597</v>
      </c>
      <c r="H34" s="2248"/>
      <c r="I34" s="2259">
        <v>15</v>
      </c>
      <c r="J34" s="2260" t="s">
        <v>695</v>
      </c>
      <c r="K34" s="2245" t="s">
        <v>311</v>
      </c>
      <c r="L34" s="612"/>
      <c r="M34" s="1391"/>
      <c r="N34" s="770"/>
      <c r="O34" s="1752" t="s">
        <v>640</v>
      </c>
      <c r="P34" s="770"/>
      <c r="AK34" s="1858">
        <v>103</v>
      </c>
    </row>
    <row s="13827"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3827"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3827"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3827"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3827"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3827"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3827"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3827"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3827"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3827"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3827"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3827"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3827"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3827"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3827"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3827"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3827"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3827"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3827"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3827"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3827"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3827"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3827"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3827"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3827"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3827"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3827"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3827"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3827"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3827"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3827"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3827"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3827"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3827"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3827"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3827"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3827"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3827"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3827"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3827"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3827"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3827"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3827"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3827"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3827"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3827"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3827"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3827"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3827"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3827"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3827"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3827"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3827"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3827"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3827"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3827"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3827"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3827"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3827"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3827"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3827"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3827"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3827"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3827"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3827"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3827"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3827"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3827"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3827"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3827"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3827"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3827"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3827"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3827"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3827"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3827"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3827"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3827"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3827"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3827"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3827"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3827"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3827"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3827"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3827"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3827"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3827"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3827"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3827"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3827"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3827"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3827"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3827"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3827"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3827"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3827"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3827"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3827"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3827"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3827"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3827"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3827"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3827"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3827"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3827"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3827"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3827"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3827"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3827"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3827"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3827"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3827"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3827"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3827"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3827"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3827"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3827"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3827"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3827"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3827"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3827"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3827"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3827"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3827"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3827"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3827"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3827"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3827"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3827"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3827"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3827"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3827"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3827"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3827"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3827"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3827"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3827"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3827"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3827"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3827"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3827"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3827"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3827"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3827"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3827"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3827"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3827"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3827"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3827"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3827"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3827"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3827"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3827"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3827"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3827"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035F6-8835-D01C-E401-319F54A1773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141" width="10.57421875" hidden="1"/>
    <col min="5" max="5" style="14073" width="9.140625" hidden="1" customWidth="1"/>
    <col min="6" max="7" style="13221" width="9.140625" hidden="1" customWidth="1"/>
    <col min="8" max="8" style="14074" width="3.00390625" customWidth="1"/>
    <col min="9" max="9" style="13141" width="6.00390625" customWidth="1"/>
    <col min="10" max="10" style="13141" width="63.00390625" customWidth="1"/>
    <col min="11" max="11" style="13141" width="9.00390625" customWidth="1"/>
    <col min="12" max="12" style="13141" width="39.00390625" customWidth="1"/>
    <col min="13" max="13" style="13141" width="89.00390625" customWidth="1"/>
    <col min="14" max="14" style="13141" width="10.00390625" customWidth="1"/>
    <col min="15" max="16" style="13311" width="10.00390625" customWidth="1"/>
    <col min="17" max="22" style="13141" width="10.00390625" customWidth="1"/>
    <col min="23" max="23" style="13141" width="10.57421875" hidden="1"/>
  </cols>
  <sheetData>
    <row customHeight="1" ht="22.5" hidden="1">
      <c r="S1" s="482"/>
      <c r="T1" s="482"/>
      <c r="V1" s="482"/>
      <c r="W1" s="1858" t="s">
        <v>14</v>
      </c>
    </row>
    <row customHeight="1" ht="22.5" hidden="1">
      <c r="B2" s="2280" t="s">
        <v>696</v>
      </c>
      <c r="C2" s="2280" t="s">
        <v>697</v>
      </c>
      <c r="D2" s="2279" t="s">
        <v>636</v>
      </c>
      <c r="E2" s="2285">
        <f>I2-3</f>
        <v>-3</v>
      </c>
      <c r="F2" s="2285">
        <f>J2</f>
        <v>0</v>
      </c>
      <c r="H2" s="1957" t="s">
        <v>491</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698</v>
      </c>
      <c r="J5" s="2475"/>
      <c r="K5" s="2475"/>
      <c r="L5" s="2475"/>
      <c r="M5" s="493"/>
      <c r="W5" s="1858">
        <v>48</v>
      </c>
    </row>
    <row customHeight="1" ht="18">
      <c r="H6" s="603"/>
      <c r="I6" s="2476" t="str">
        <f>IF(org=0,"Не определено",org)</f>
        <v>МУП "Уссурийск-Водоканал"</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627</v>
      </c>
      <c r="F9" s="2278" t="s">
        <v>633</v>
      </c>
      <c r="H9" s="603"/>
      <c r="I9" s="2252" t="s">
        <v>88</v>
      </c>
      <c r="J9" s="2253" t="s">
        <v>307</v>
      </c>
      <c r="K9" s="2291" t="s">
        <v>575</v>
      </c>
      <c r="L9" s="2292" t="s">
        <v>308</v>
      </c>
      <c r="M9" s="2616"/>
      <c r="W9" s="1858">
        <v>34</v>
      </c>
    </row>
    <row customHeight="1" ht="35.699999999999996">
      <c r="B10" s="2280" t="s">
        <v>699</v>
      </c>
      <c r="C10" s="2280" t="s">
        <v>700</v>
      </c>
      <c r="D10" s="2279" t="s">
        <v>636</v>
      </c>
      <c r="E10" s="2283" t="s">
        <v>637</v>
      </c>
      <c r="F10" s="2283" t="s">
        <v>637</v>
      </c>
      <c r="H10" s="603"/>
      <c r="I10" s="2251" t="s">
        <v>109</v>
      </c>
      <c r="J10" s="2113" t="s">
        <v>701</v>
      </c>
      <c r="K10" s="2245" t="s">
        <v>311</v>
      </c>
      <c r="L10" s="1045"/>
      <c r="M10" s="524" t="s">
        <v>702</v>
      </c>
      <c r="W10" s="1858">
        <v>34</v>
      </c>
    </row>
    <row customHeight="1" ht="50.25">
      <c r="B11" s="2280" t="s">
        <v>703</v>
      </c>
      <c r="C11" s="2280" t="s">
        <v>704</v>
      </c>
      <c r="D11" s="2279" t="s">
        <v>636</v>
      </c>
      <c r="E11" s="2283" t="s">
        <v>637</v>
      </c>
      <c r="F11" s="2283" t="s">
        <v>637</v>
      </c>
      <c r="H11" s="603"/>
      <c r="I11" s="2251" t="s">
        <v>110</v>
      </c>
      <c r="J11" s="2113" t="s">
        <v>705</v>
      </c>
      <c r="K11" s="2245" t="s">
        <v>311</v>
      </c>
      <c r="L11" s="1045"/>
      <c r="M11" s="524" t="s">
        <v>702</v>
      </c>
      <c r="W11" s="1858">
        <v>48</v>
      </c>
    </row>
    <row customHeight="1" ht="48.29999999999999">
      <c r="B12" s="2280" t="s">
        <v>706</v>
      </c>
      <c r="C12" s="2280" t="s">
        <v>707</v>
      </c>
      <c r="D12" s="2279" t="s">
        <v>636</v>
      </c>
      <c r="E12" s="2283" t="s">
        <v>637</v>
      </c>
      <c r="F12" s="2283" t="s">
        <v>637</v>
      </c>
      <c r="H12" s="1915"/>
      <c r="I12" s="2251" t="s">
        <v>90</v>
      </c>
      <c r="J12" s="2258" t="s">
        <v>708</v>
      </c>
      <c r="K12" s="2245" t="s">
        <v>311</v>
      </c>
      <c r="L12" s="1045"/>
      <c r="M12" s="524" t="s">
        <v>709</v>
      </c>
      <c r="N12" s="1851"/>
      <c r="P12" s="1858"/>
      <c r="W12" s="1858">
        <v>46</v>
      </c>
    </row>
    <row customHeight="1" ht="14.699999999999998">
      <c r="E13" s="570"/>
      <c r="H13" s="603"/>
      <c r="I13" s="574"/>
      <c r="J13" s="878" t="s">
        <v>710</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9BBDE-F9B8-54F8-E9EC-E60EC6B8C83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5287" width="10.7109375" hidden="1" customWidth="1"/>
    <col min="2" max="2" style="13221" width="16.8515625" hidden="1" customWidth="1"/>
    <col min="3" max="3" style="13222" width="5.57421875" hidden="1" customWidth="1"/>
    <col min="4" max="4" style="13141" width="3.00390625" customWidth="1"/>
    <col min="5" max="5" style="13141" width="7.00390625" customWidth="1"/>
    <col min="6" max="6" style="13141" width="56.00390625" customWidth="1"/>
    <col min="7" max="7" style="13141" width="10.00390625" customWidth="1"/>
    <col min="8" max="8" style="13141" width="40.7109375" hidden="1" customWidth="1"/>
    <col min="9" max="9" style="13141" width="40.00390625" customWidth="1"/>
    <col min="10" max="10" style="13141" width="102.00390625" customWidth="1"/>
    <col min="11" max="11" style="13221" width="9.00390625" customWidth="1"/>
    <col min="12" max="12" style="13222" width="5.00390625" customWidth="1"/>
    <col min="13" max="13" style="13222" width="3.00390625" customWidth="1"/>
    <col min="14" max="17" style="13221" width="3.00390625" customWidth="1"/>
    <col min="18" max="18" style="13222" width="10.00390625" customWidth="1"/>
    <col min="19" max="19" style="13221" width="34.00390625" customWidth="1"/>
    <col min="20" max="20" style="13221" width="9.00390625" customWidth="1"/>
    <col min="21" max="21" style="15288" width="8.00390625" customWidth="1"/>
    <col min="22" max="26" style="13221" width="8.00390625" customWidth="1"/>
    <col min="27" max="31" style="13105" width="8.00390625" customWidth="1"/>
    <col min="32" max="32" style="13141" width="10.421875" hidden="1" customWidth="1"/>
  </cols>
  <sheetData>
    <row s="13221" customFormat="1" customHeight="1" ht="22.5" hidden="1">
      <c r="A1" s="1214"/>
      <c r="C1" s="1863"/>
      <c r="D1" s="764"/>
      <c r="H1" s="1387">
        <v>4</v>
      </c>
      <c r="I1" s="1387">
        <v>4</v>
      </c>
      <c r="L1" s="1863"/>
      <c r="M1" s="1863"/>
      <c r="R1" s="1863"/>
      <c r="AF1" s="1387" t="s">
        <v>14</v>
      </c>
    </row>
    <row s="13221" customFormat="1" customHeight="1" ht="22.5" hidden="1">
      <c r="A2" s="1214"/>
      <c r="C2" s="1863"/>
      <c r="D2" s="765"/>
      <c r="E2" s="1864"/>
      <c r="F2" s="767"/>
      <c r="G2" s="1866" t="s">
        <v>561</v>
      </c>
      <c r="H2" s="768"/>
      <c r="I2" s="768"/>
      <c r="J2" s="769" t="s">
        <v>711</v>
      </c>
      <c r="K2" s="770"/>
      <c r="L2" s="1863"/>
      <c r="M2" s="1863"/>
      <c r="R2" s="1863"/>
      <c r="U2" s="771"/>
      <c r="AA2" s="1859"/>
      <c r="AB2" s="1859"/>
      <c r="AC2" s="1859"/>
      <c r="AD2" s="1859"/>
      <c r="AE2" s="1859"/>
      <c r="AF2" s="1387">
        <v>0</v>
      </c>
    </row>
    <row customHeight="1" ht="11.25" hidden="1">
      <c r="AF3" s="1858">
        <v>0</v>
      </c>
    </row>
    <row s="13105"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712</v>
      </c>
      <c r="F6" s="2534"/>
      <c r="G6" s="2534"/>
      <c r="H6" s="2534"/>
      <c r="I6" s="2534"/>
      <c r="J6" s="783"/>
      <c r="AF6" s="1858">
        <v>30</v>
      </c>
    </row>
    <row customHeight="1" ht="11.549999999999999">
      <c r="E7" s="2476" t="str">
        <f>IF(org=0,"Не определено",org)</f>
        <v>МУП "Уссурийск-Водоканал"</v>
      </c>
      <c r="F7" s="2476"/>
      <c r="G7" s="2476"/>
      <c r="H7" s="2476"/>
      <c r="I7" s="2476"/>
      <c r="AF7" s="1858">
        <v>11</v>
      </c>
    </row>
    <row customHeight="1" ht="11.549999999999999">
      <c r="E8" s="1362"/>
      <c r="F8" s="1362"/>
      <c r="G8" s="1362"/>
      <c r="H8" s="1362"/>
      <c r="I8" s="1362"/>
      <c r="AF8" s="1858">
        <v>11</v>
      </c>
    </row>
    <row s="13222"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573</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574</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88</v>
      </c>
      <c r="F14" s="1861" t="s">
        <v>307</v>
      </c>
      <c r="G14" s="1861" t="s">
        <v>575</v>
      </c>
      <c r="H14" s="1861" t="s">
        <v>308</v>
      </c>
      <c r="I14" s="1861" t="s">
        <v>308</v>
      </c>
      <c r="J14" s="2354"/>
      <c r="AF14" s="1858">
        <v>23</v>
      </c>
    </row>
    <row customHeight="1" ht="19.95">
      <c r="D15" s="1865"/>
      <c r="E15" s="1857" t="s">
        <v>109</v>
      </c>
      <c r="F15" s="934" t="s">
        <v>713</v>
      </c>
      <c r="G15" s="1873" t="s">
        <v>561</v>
      </c>
      <c r="H15" s="784"/>
      <c r="I15" s="784"/>
      <c r="J15" s="516" t="s">
        <v>714</v>
      </c>
      <c r="K15" s="770" t="s">
        <v>639</v>
      </c>
      <c r="AF15" s="1858">
        <v>19</v>
      </c>
    </row>
    <row customHeight="1" ht="35.699999999999996">
      <c r="D16" s="1865"/>
      <c r="E16" s="1857" t="s">
        <v>110</v>
      </c>
      <c r="F16" s="934" t="s">
        <v>715</v>
      </c>
      <c r="G16" s="1873" t="s">
        <v>561</v>
      </c>
      <c r="H16" s="785">
        <f>SUM(H17,H20:H32)</f>
        <v>0</v>
      </c>
      <c r="I16" s="785">
        <f>SUM(I17,I20,I23,I26,I29:I32)</f>
        <v>0</v>
      </c>
      <c r="J16" s="516" t="s">
        <v>716</v>
      </c>
      <c r="K16" s="770" t="s">
        <v>639</v>
      </c>
      <c r="AF16" s="1858">
        <v>34</v>
      </c>
    </row>
    <row customHeight="1" ht="19.95">
      <c r="D17" s="1865"/>
      <c r="E17" s="1891" t="s">
        <v>717</v>
      </c>
      <c r="F17" s="1181" t="s">
        <v>718</v>
      </c>
      <c r="G17" s="1870" t="s">
        <v>561</v>
      </c>
      <c r="H17" s="784"/>
      <c r="I17" s="784"/>
      <c r="J17" s="516" t="s">
        <v>719</v>
      </c>
      <c r="K17" s="770"/>
      <c r="AF17" s="1858">
        <v>19</v>
      </c>
    </row>
    <row customHeight="1" ht="24">
      <c r="D18" s="1865"/>
      <c r="E18" s="1891" t="s">
        <v>720</v>
      </c>
      <c r="F18" s="1877" t="s">
        <v>721</v>
      </c>
      <c r="G18" s="1870" t="s">
        <v>561</v>
      </c>
      <c r="H18" s="784"/>
      <c r="I18" s="784"/>
      <c r="J18" s="516" t="s">
        <v>722</v>
      </c>
      <c r="K18" s="770"/>
      <c r="AF18" s="1858">
        <v>23</v>
      </c>
    </row>
    <row customHeight="1" ht="35.699999999999996">
      <c r="D19" s="1865"/>
      <c r="E19" s="1891" t="s">
        <v>723</v>
      </c>
      <c r="F19" s="1877" t="s">
        <v>724</v>
      </c>
      <c r="G19" s="1870" t="s">
        <v>561</v>
      </c>
      <c r="H19" s="784"/>
      <c r="I19" s="784"/>
      <c r="J19" s="516"/>
      <c r="K19" s="770"/>
      <c r="AF19" s="1858">
        <v>34</v>
      </c>
    </row>
    <row customHeight="1" ht="19.95">
      <c r="D20" s="1865"/>
      <c r="E20" s="1891" t="s">
        <v>312</v>
      </c>
      <c r="F20" s="1181" t="s">
        <v>725</v>
      </c>
      <c r="G20" s="1870" t="s">
        <v>561</v>
      </c>
      <c r="H20" s="784"/>
      <c r="I20" s="784"/>
      <c r="J20" s="516" t="s">
        <v>726</v>
      </c>
      <c r="K20" s="770"/>
      <c r="AF20" s="1858">
        <v>19</v>
      </c>
    </row>
    <row customHeight="1" ht="19.95">
      <c r="D21" s="1865"/>
      <c r="E21" s="1891" t="s">
        <v>727</v>
      </c>
      <c r="F21" s="1877" t="s">
        <v>728</v>
      </c>
      <c r="G21" s="1870" t="s">
        <v>561</v>
      </c>
      <c r="H21" s="784"/>
      <c r="I21" s="784"/>
      <c r="J21" s="516"/>
      <c r="K21" s="770"/>
      <c r="AF21" s="1858">
        <v>19</v>
      </c>
    </row>
    <row customHeight="1" ht="19.95">
      <c r="D22" s="1865"/>
      <c r="E22" s="1891" t="s">
        <v>729</v>
      </c>
      <c r="F22" s="1877" t="s">
        <v>730</v>
      </c>
      <c r="G22" s="1870" t="s">
        <v>561</v>
      </c>
      <c r="H22" s="784"/>
      <c r="I22" s="784"/>
      <c r="J22" s="516"/>
      <c r="K22" s="770"/>
      <c r="AF22" s="1858">
        <v>19</v>
      </c>
    </row>
    <row customHeight="1" ht="24">
      <c r="D23" s="1865"/>
      <c r="E23" s="1891" t="s">
        <v>315</v>
      </c>
      <c r="F23" s="1181" t="s">
        <v>731</v>
      </c>
      <c r="G23" s="1870" t="s">
        <v>561</v>
      </c>
      <c r="H23" s="784"/>
      <c r="I23" s="784"/>
      <c r="J23" s="516" t="s">
        <v>732</v>
      </c>
      <c r="K23" s="770"/>
      <c r="AF23" s="1858">
        <v>23</v>
      </c>
    </row>
    <row customHeight="1" ht="19.95">
      <c r="D24" s="1865"/>
      <c r="E24" s="1891" t="s">
        <v>733</v>
      </c>
      <c r="F24" s="1877" t="s">
        <v>734</v>
      </c>
      <c r="G24" s="1870" t="s">
        <v>561</v>
      </c>
      <c r="H24" s="784"/>
      <c r="I24" s="784"/>
      <c r="J24" s="516"/>
      <c r="K24" s="770"/>
      <c r="AF24" s="1858">
        <v>19</v>
      </c>
    </row>
    <row customHeight="1" ht="35.699999999999996">
      <c r="D25" s="1865"/>
      <c r="E25" s="1891" t="s">
        <v>735</v>
      </c>
      <c r="F25" s="1877" t="s">
        <v>736</v>
      </c>
      <c r="G25" s="1870" t="s">
        <v>561</v>
      </c>
      <c r="H25" s="784"/>
      <c r="I25" s="784"/>
      <c r="J25" s="516"/>
      <c r="K25" s="770"/>
      <c r="AF25" s="1858">
        <v>34</v>
      </c>
    </row>
    <row customHeight="1" ht="24">
      <c r="D26" s="1865"/>
      <c r="E26" s="1891" t="s">
        <v>737</v>
      </c>
      <c r="F26" s="1181" t="s">
        <v>738</v>
      </c>
      <c r="G26" s="1870" t="s">
        <v>561</v>
      </c>
      <c r="H26" s="784"/>
      <c r="I26" s="784"/>
      <c r="J26" s="516" t="s">
        <v>739</v>
      </c>
      <c r="K26" s="770"/>
      <c r="AF26" s="1858">
        <v>23</v>
      </c>
    </row>
    <row customHeight="1" ht="19.95">
      <c r="D27" s="1865"/>
      <c r="E27" s="1902" t="s">
        <v>740</v>
      </c>
      <c r="F27" s="1877" t="s">
        <v>741</v>
      </c>
      <c r="G27" s="1881" t="s">
        <v>561</v>
      </c>
      <c r="H27" s="1903"/>
      <c r="I27" s="1903"/>
      <c r="J27" s="516"/>
      <c r="K27" s="770"/>
      <c r="AF27" s="1858">
        <v>19</v>
      </c>
    </row>
    <row customHeight="1" ht="19.95">
      <c r="D28" s="1865"/>
      <c r="E28" s="1902" t="s">
        <v>742</v>
      </c>
      <c r="F28" s="1877" t="s">
        <v>743</v>
      </c>
      <c r="G28" s="1881" t="s">
        <v>561</v>
      </c>
      <c r="H28" s="1903"/>
      <c r="I28" s="1903"/>
      <c r="J28" s="516"/>
      <c r="K28" s="770"/>
      <c r="AF28" s="1858">
        <v>19</v>
      </c>
    </row>
    <row customHeight="1" ht="19.95">
      <c r="D29" s="1865"/>
      <c r="E29" s="1902" t="s">
        <v>744</v>
      </c>
      <c r="F29" s="1181" t="s">
        <v>745</v>
      </c>
      <c r="G29" s="1881" t="s">
        <v>561</v>
      </c>
      <c r="H29" s="1903"/>
      <c r="I29" s="1903"/>
      <c r="J29" s="516"/>
      <c r="K29" s="770"/>
      <c r="AF29" s="1858">
        <v>19</v>
      </c>
    </row>
    <row customHeight="1" ht="19.95">
      <c r="D30" s="1865"/>
      <c r="E30" s="1902" t="s">
        <v>746</v>
      </c>
      <c r="F30" s="1181" t="s">
        <v>747</v>
      </c>
      <c r="G30" s="1881" t="s">
        <v>561</v>
      </c>
      <c r="H30" s="1903"/>
      <c r="I30" s="1903"/>
      <c r="J30" s="516"/>
      <c r="K30" s="770"/>
      <c r="AF30" s="1858">
        <v>19</v>
      </c>
    </row>
    <row customHeight="1" ht="19.95">
      <c r="D31" s="1865"/>
      <c r="E31" s="1902" t="s">
        <v>748</v>
      </c>
      <c r="F31" s="1181" t="s">
        <v>749</v>
      </c>
      <c r="G31" s="1881" t="s">
        <v>561</v>
      </c>
      <c r="H31" s="1903"/>
      <c r="I31" s="1903"/>
      <c r="J31" s="516"/>
      <c r="K31" s="770"/>
      <c r="AF31" s="1858">
        <v>19</v>
      </c>
    </row>
    <row s="13221" customFormat="1" customHeight="1" ht="35.699999999999996">
      <c r="A32" s="1214"/>
      <c r="C32" s="1863"/>
      <c r="D32" s="1865"/>
      <c r="E32" s="1902" t="s">
        <v>750</v>
      </c>
      <c r="F32" s="1181" t="s">
        <v>751</v>
      </c>
      <c r="G32" s="1871" t="s">
        <v>561</v>
      </c>
      <c r="H32" s="806">
        <f>SUM(H33:H34)</f>
        <v>0</v>
      </c>
      <c r="I32" s="806">
        <f>SUM(I33:I34)</f>
        <v>0</v>
      </c>
      <c r="J32" s="516" t="s">
        <v>752</v>
      </c>
      <c r="K32" s="770"/>
      <c r="L32" s="1863"/>
      <c r="M32" s="1863"/>
      <c r="R32" s="1863"/>
      <c r="U32" s="771"/>
      <c r="AA32" s="1859"/>
      <c r="AB32" s="1859"/>
      <c r="AC32" s="1859"/>
      <c r="AD32" s="1859"/>
      <c r="AE32" s="1859"/>
      <c r="AF32" s="1387">
        <v>34</v>
      </c>
    </row>
    <row s="13222" customFormat="1" customHeight="1" ht="1.05">
      <c r="A33" s="1394"/>
      <c r="D33" s="775"/>
      <c r="E33" s="1029" t="str">
        <f>E32&amp;".0"</f>
        <v>2.8.0</v>
      </c>
      <c r="F33" s="1218"/>
      <c r="G33" s="778"/>
      <c r="H33" s="1219"/>
      <c r="I33" s="1219"/>
      <c r="J33" s="1220"/>
      <c r="AF33" s="1863">
        <v>1</v>
      </c>
    </row>
    <row s="13221" customFormat="1" customHeight="1" ht="19.95">
      <c r="A34" s="1214"/>
      <c r="C34" s="1863"/>
      <c r="D34" s="1860"/>
      <c r="E34" s="797"/>
      <c r="F34" s="1893" t="s">
        <v>586</v>
      </c>
      <c r="G34" s="799"/>
      <c r="H34" s="800"/>
      <c r="I34" s="800"/>
      <c r="J34" s="528" t="s">
        <v>753</v>
      </c>
      <c r="K34" s="770"/>
      <c r="L34" s="1863"/>
      <c r="M34" s="1863"/>
      <c r="R34" s="1863"/>
      <c r="U34" s="771"/>
      <c r="AA34" s="1859"/>
      <c r="AB34" s="1859"/>
      <c r="AC34" s="1859"/>
      <c r="AD34" s="1859"/>
      <c r="AE34" s="1859"/>
      <c r="AF34" s="1387">
        <v>19</v>
      </c>
    </row>
    <row customHeight="1" ht="60">
      <c r="D35" s="1865"/>
      <c r="E35" s="1902" t="s">
        <v>754</v>
      </c>
      <c r="F35" s="1181" t="s">
        <v>755</v>
      </c>
      <c r="G35" s="1881" t="s">
        <v>561</v>
      </c>
      <c r="H35" s="1903"/>
      <c r="I35" s="1903"/>
      <c r="J35" s="516" t="s">
        <v>756</v>
      </c>
      <c r="K35" s="770"/>
      <c r="AF35" s="1858">
        <v>57</v>
      </c>
    </row>
    <row s="13221" customFormat="1" customHeight="1" ht="24">
      <c r="A36" s="1216" t="s">
        <v>587</v>
      </c>
      <c r="C36" s="1863"/>
      <c r="D36" s="1865"/>
      <c r="E36" s="1891" t="s">
        <v>90</v>
      </c>
      <c r="F36" s="934" t="s">
        <v>757</v>
      </c>
      <c r="G36" s="1870" t="s">
        <v>561</v>
      </c>
      <c r="H36" s="784"/>
      <c r="I36" s="784"/>
      <c r="J36" s="516" t="s">
        <v>758</v>
      </c>
      <c r="K36" s="770"/>
      <c r="L36" s="1863"/>
      <c r="M36" s="1863"/>
      <c r="R36" s="1863"/>
      <c r="U36" s="771"/>
      <c r="AA36" s="1859"/>
      <c r="AB36" s="1859"/>
      <c r="AC36" s="1859"/>
      <c r="AD36" s="1859"/>
      <c r="AE36" s="1859"/>
      <c r="AF36" s="1387">
        <v>23</v>
      </c>
    </row>
    <row s="13221" customFormat="1" customHeight="1" ht="35.699999999999996">
      <c r="A37" s="1216"/>
      <c r="C37" s="1863"/>
      <c r="D37" s="1865"/>
      <c r="E37" s="1891" t="s">
        <v>329</v>
      </c>
      <c r="F37" s="1181" t="s">
        <v>759</v>
      </c>
      <c r="G37" s="1881"/>
      <c r="H37" s="784"/>
      <c r="I37" s="784"/>
      <c r="J37" s="516"/>
      <c r="K37" s="770"/>
      <c r="L37" s="1863"/>
      <c r="M37" s="1863"/>
      <c r="R37" s="1863"/>
      <c r="U37" s="771"/>
      <c r="AA37" s="1859"/>
      <c r="AB37" s="1859"/>
      <c r="AC37" s="1859"/>
      <c r="AD37" s="1859"/>
      <c r="AE37" s="1859"/>
      <c r="AF37" s="1387">
        <v>34</v>
      </c>
    </row>
    <row s="13221" customFormat="1" customHeight="1" ht="19.95">
      <c r="A38" s="1214"/>
      <c r="C38" s="1863"/>
      <c r="D38" s="802"/>
      <c r="E38" s="1891" t="s">
        <v>91</v>
      </c>
      <c r="F38" s="934" t="s">
        <v>760</v>
      </c>
      <c r="G38" s="1870" t="s">
        <v>561</v>
      </c>
      <c r="H38" s="784"/>
      <c r="I38" s="784"/>
      <c r="J38" s="516" t="s">
        <v>761</v>
      </c>
      <c r="K38" s="770"/>
      <c r="L38" s="1863"/>
      <c r="M38" s="1863"/>
      <c r="R38" s="1863"/>
      <c r="U38" s="771"/>
      <c r="AA38" s="1859"/>
      <c r="AB38" s="1859"/>
      <c r="AC38" s="1859"/>
      <c r="AD38" s="1859"/>
      <c r="AE38" s="1859"/>
      <c r="AF38" s="1387">
        <v>19</v>
      </c>
    </row>
    <row s="13221" customFormat="1" customHeight="1" ht="24">
      <c r="A39" s="1214"/>
      <c r="C39" s="1863"/>
      <c r="D39" s="802"/>
      <c r="E39" s="1891" t="s">
        <v>762</v>
      </c>
      <c r="F39" s="1181" t="s">
        <v>763</v>
      </c>
      <c r="G39" s="1881" t="s">
        <v>561</v>
      </c>
      <c r="H39" s="784"/>
      <c r="I39" s="784"/>
      <c r="J39" s="516" t="s">
        <v>764</v>
      </c>
      <c r="K39" s="770"/>
      <c r="L39" s="1863"/>
      <c r="M39" s="1863"/>
      <c r="R39" s="1863"/>
      <c r="U39" s="771"/>
      <c r="AA39" s="1859"/>
      <c r="AB39" s="1859"/>
      <c r="AC39" s="1859"/>
      <c r="AD39" s="1859"/>
      <c r="AE39" s="1859"/>
      <c r="AF39" s="1387">
        <v>23</v>
      </c>
    </row>
    <row s="13221" customFormat="1" customHeight="1" ht="24">
      <c r="A40" s="1214"/>
      <c r="C40" s="1863"/>
      <c r="D40" s="1865"/>
      <c r="E40" s="1891" t="s">
        <v>765</v>
      </c>
      <c r="F40" s="1877" t="s">
        <v>766</v>
      </c>
      <c r="G40" s="1870" t="s">
        <v>561</v>
      </c>
      <c r="H40" s="784"/>
      <c r="I40" s="784"/>
      <c r="J40" s="516" t="s">
        <v>767</v>
      </c>
      <c r="K40" s="770"/>
      <c r="L40" s="1863"/>
      <c r="M40" s="1863"/>
      <c r="R40" s="1863"/>
      <c r="U40" s="771"/>
      <c r="AA40" s="1859"/>
      <c r="AB40" s="1859"/>
      <c r="AC40" s="1859"/>
      <c r="AD40" s="1859"/>
      <c r="AE40" s="1859"/>
      <c r="AF40" s="1387">
        <v>23</v>
      </c>
    </row>
    <row s="13221" customFormat="1" customHeight="1" ht="24">
      <c r="A41" s="1214"/>
      <c r="C41" s="1863"/>
      <c r="D41" s="1865"/>
      <c r="E41" s="1891" t="s">
        <v>768</v>
      </c>
      <c r="F41" s="1877" t="s">
        <v>769</v>
      </c>
      <c r="G41" s="1870" t="s">
        <v>561</v>
      </c>
      <c r="H41" s="784"/>
      <c r="I41" s="784"/>
      <c r="J41" s="516" t="s">
        <v>770</v>
      </c>
      <c r="K41" s="770"/>
      <c r="L41" s="1863"/>
      <c r="M41" s="1863"/>
      <c r="R41" s="1863"/>
      <c r="U41" s="771"/>
      <c r="AA41" s="1859"/>
      <c r="AB41" s="1859"/>
      <c r="AC41" s="1859"/>
      <c r="AD41" s="1859"/>
      <c r="AE41" s="1859"/>
      <c r="AF41" s="1387">
        <v>23</v>
      </c>
    </row>
    <row s="13221" customFormat="1" customHeight="1" ht="24">
      <c r="A42" s="1214"/>
      <c r="C42" s="1863"/>
      <c r="D42" s="1865"/>
      <c r="E42" s="1891" t="s">
        <v>771</v>
      </c>
      <c r="F42" s="1877" t="s">
        <v>772</v>
      </c>
      <c r="G42" s="1870" t="s">
        <v>561</v>
      </c>
      <c r="H42" s="784"/>
      <c r="I42" s="784"/>
      <c r="J42" s="516" t="s">
        <v>773</v>
      </c>
      <c r="K42" s="770"/>
      <c r="L42" s="1863"/>
      <c r="M42" s="1863"/>
      <c r="R42" s="1863"/>
      <c r="U42" s="771"/>
      <c r="AA42" s="1859"/>
      <c r="AB42" s="1859"/>
      <c r="AC42" s="1859"/>
      <c r="AD42" s="1859"/>
      <c r="AE42" s="1859"/>
      <c r="AF42" s="1387">
        <v>23</v>
      </c>
    </row>
    <row s="13221" customFormat="1" customHeight="1" ht="35.699999999999996">
      <c r="A43" s="1214"/>
      <c r="C43" s="1863" t="s">
        <v>597</v>
      </c>
      <c r="D43" s="1865"/>
      <c r="E43" s="1891" t="s">
        <v>111</v>
      </c>
      <c r="F43" s="934" t="s">
        <v>638</v>
      </c>
      <c r="G43" s="1873" t="s">
        <v>774</v>
      </c>
      <c r="H43" s="628"/>
      <c r="I43" s="628"/>
      <c r="J43" s="516" t="s">
        <v>775</v>
      </c>
      <c r="K43" s="770"/>
      <c r="L43" s="1863"/>
      <c r="M43" s="1863"/>
      <c r="R43" s="1863"/>
      <c r="U43" s="771"/>
      <c r="AA43" s="1859"/>
      <c r="AB43" s="1859"/>
      <c r="AC43" s="1859"/>
      <c r="AD43" s="1859"/>
      <c r="AE43" s="1859"/>
      <c r="AF43" s="1387">
        <v>34</v>
      </c>
    </row>
    <row s="13221" customFormat="1" customHeight="1" ht="35.699999999999996">
      <c r="A44" s="1214"/>
      <c r="C44" s="1863"/>
      <c r="D44" s="1865"/>
      <c r="E44" s="1891" t="s">
        <v>92</v>
      </c>
      <c r="F44" s="934" t="s">
        <v>776</v>
      </c>
      <c r="G44" s="1870" t="s">
        <v>777</v>
      </c>
      <c r="H44" s="772"/>
      <c r="I44" s="772"/>
      <c r="J44" s="516" t="s">
        <v>778</v>
      </c>
      <c r="K44" s="770"/>
      <c r="L44" s="1863"/>
      <c r="M44" s="1863"/>
      <c r="R44" s="1863"/>
      <c r="U44" s="771"/>
      <c r="AA44" s="1859"/>
      <c r="AB44" s="1859"/>
      <c r="AC44" s="1859"/>
      <c r="AD44" s="1859"/>
      <c r="AE44" s="1859"/>
      <c r="AF44" s="1387">
        <v>34</v>
      </c>
    </row>
    <row s="13221" customFormat="1" customHeight="1" ht="24">
      <c r="A45" s="1214"/>
      <c r="C45" s="1863"/>
      <c r="D45" s="1865"/>
      <c r="E45" s="1891" t="s">
        <v>93</v>
      </c>
      <c r="F45" s="934" t="s">
        <v>779</v>
      </c>
      <c r="G45" s="1881" t="s">
        <v>780</v>
      </c>
      <c r="H45" s="772"/>
      <c r="I45" s="772"/>
      <c r="J45" s="516" t="s">
        <v>781</v>
      </c>
      <c r="K45" s="770"/>
      <c r="L45" s="1863"/>
      <c r="M45" s="1863"/>
      <c r="R45" s="1863"/>
      <c r="U45" s="771"/>
      <c r="AA45" s="1859"/>
      <c r="AB45" s="1859"/>
      <c r="AC45" s="1859"/>
      <c r="AD45" s="1859"/>
      <c r="AE45" s="1859"/>
      <c r="AF45" s="1387">
        <v>23</v>
      </c>
    </row>
    <row s="13221" customFormat="1" customHeight="1" ht="19.95">
      <c r="A46" s="1214"/>
      <c r="C46" s="1863"/>
      <c r="D46" s="1865"/>
      <c r="E46" s="1891" t="s">
        <v>112</v>
      </c>
      <c r="F46" s="934" t="s">
        <v>782</v>
      </c>
      <c r="G46" s="1870" t="s">
        <v>599</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382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382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3827"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382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382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382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382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382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382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382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382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382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382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382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382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382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382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382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382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382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382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382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382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382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382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382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382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382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382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382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382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382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382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382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382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382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382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382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382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382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382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382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382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382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382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382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382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382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382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382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382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382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382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382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382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382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382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382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382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382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382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382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382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382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382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382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382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382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382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382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382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382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382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382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382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382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382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382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382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382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382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382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382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382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382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382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82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82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82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82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82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82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82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82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82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82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82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82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82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82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82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82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82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82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82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82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82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82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82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82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82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82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82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82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82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82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82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82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82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82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82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82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82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82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82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82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82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82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82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82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82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82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82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82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82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82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82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82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82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82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82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82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82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82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82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82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82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82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382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382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382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382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382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382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382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73692-F66F-1F1D-84DA-5981F17D09B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5287" width="10.7109375" hidden="1" customWidth="1"/>
    <col min="2" max="2" style="13221" width="16.8515625" hidden="1" customWidth="1"/>
    <col min="3" max="3" style="13222" width="5.57421875" hidden="1" customWidth="1"/>
    <col min="4" max="4" style="13141" width="3.00390625" customWidth="1"/>
    <col min="5" max="5" style="13141" width="7.00390625" customWidth="1"/>
    <col min="6" max="6" style="13141" width="54.00390625" customWidth="1"/>
    <col min="7" max="7" style="13141" width="10.00390625" customWidth="1"/>
    <col min="8" max="8" style="13141" width="40.7109375" hidden="1" customWidth="1"/>
    <col min="9" max="9" style="13141" width="40.00390625" customWidth="1"/>
    <col min="10" max="10" style="13141" width="102.00390625" customWidth="1"/>
    <col min="11" max="11" style="13221" width="9.00390625" customWidth="1"/>
    <col min="12" max="12" style="13222" width="5.00390625" customWidth="1"/>
    <col min="13" max="13" style="13222" width="3.00390625" customWidth="1"/>
    <col min="14" max="17" style="13221" width="3.00390625" customWidth="1"/>
    <col min="18" max="18" style="13222" width="10.00390625" customWidth="1"/>
    <col min="19" max="19" style="13221" width="34.00390625" customWidth="1"/>
    <col min="20" max="20" style="13221" width="9.00390625" customWidth="1"/>
    <col min="21" max="21" style="15288" width="8.00390625" customWidth="1"/>
    <col min="22" max="26" style="13221" width="8.00390625" customWidth="1"/>
    <col min="27" max="31" style="13105" width="8.00390625" customWidth="1"/>
    <col min="32" max="32" style="13141" width="9.140625" hidden="1"/>
  </cols>
  <sheetData>
    <row s="13221" customFormat="1" customHeight="1" ht="22.5" hidden="1">
      <c r="A1" s="1214"/>
      <c r="C1" s="1863"/>
      <c r="D1" s="764"/>
      <c r="H1" s="1387">
        <v>4</v>
      </c>
      <c r="I1" s="1387">
        <v>4</v>
      </c>
      <c r="L1" s="1863"/>
      <c r="M1" s="1863"/>
      <c r="R1" s="1863"/>
      <c r="AF1" s="1387" t="s">
        <v>14</v>
      </c>
    </row>
    <row s="13221" customFormat="1" customHeight="1" ht="22.5" hidden="1">
      <c r="A2" s="1214"/>
      <c r="C2" s="1863"/>
      <c r="D2" s="765"/>
      <c r="E2" s="1885"/>
      <c r="F2" s="767"/>
      <c r="G2" s="1884" t="s">
        <v>561</v>
      </c>
      <c r="H2" s="768"/>
      <c r="I2" s="768"/>
      <c r="J2" s="769" t="s">
        <v>564</v>
      </c>
      <c r="K2" s="770"/>
      <c r="L2" s="1863"/>
      <c r="M2" s="1863"/>
      <c r="R2" s="1863"/>
      <c r="U2" s="771"/>
      <c r="AA2" s="1859"/>
      <c r="AB2" s="1859"/>
      <c r="AC2" s="1859"/>
      <c r="AD2" s="1859"/>
      <c r="AE2" s="1859"/>
      <c r="AF2" s="1387">
        <v>0</v>
      </c>
    </row>
    <row customHeight="1" ht="11.25" hidden="1">
      <c r="AF3" s="1858">
        <v>0</v>
      </c>
    </row>
    <row s="13105"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783</v>
      </c>
      <c r="F6" s="2475"/>
      <c r="G6" s="2475"/>
      <c r="H6" s="2475"/>
      <c r="I6" s="2475"/>
      <c r="J6" s="783"/>
      <c r="AF6" s="1858">
        <v>32</v>
      </c>
    </row>
    <row customHeight="1" ht="25.2">
      <c r="E7" s="2476" t="str">
        <f>IF(org=0,"Не определено",org)</f>
        <v>МУП "Уссурийск-Водоканал"</v>
      </c>
      <c r="F7" s="2476"/>
      <c r="G7" s="2476"/>
      <c r="H7" s="2476"/>
      <c r="I7" s="2476"/>
      <c r="AF7" s="1858">
        <v>24</v>
      </c>
    </row>
    <row customHeight="1" ht="11.549999999999999">
      <c r="E8" s="1362"/>
      <c r="F8" s="1362"/>
      <c r="G8" s="1362"/>
      <c r="H8" s="1362"/>
      <c r="I8" s="1362"/>
      <c r="AF8" s="1858">
        <v>11</v>
      </c>
    </row>
    <row s="13222"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573</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574</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88</v>
      </c>
      <c r="F14" s="1887" t="s">
        <v>307</v>
      </c>
      <c r="G14" s="1887" t="s">
        <v>575</v>
      </c>
      <c r="H14" s="1887" t="s">
        <v>308</v>
      </c>
      <c r="I14" s="1887" t="s">
        <v>308</v>
      </c>
      <c r="J14" s="2354"/>
      <c r="AF14" s="1858">
        <v>23</v>
      </c>
    </row>
    <row customHeight="1" ht="19.95">
      <c r="D15" s="1865"/>
      <c r="E15" s="1857" t="s">
        <v>109</v>
      </c>
      <c r="F15" s="934" t="s">
        <v>784</v>
      </c>
      <c r="G15" s="1884" t="s">
        <v>561</v>
      </c>
      <c r="H15" s="784"/>
      <c r="I15" s="784"/>
      <c r="J15" s="516" t="s">
        <v>785</v>
      </c>
      <c r="K15" s="770" t="s">
        <v>639</v>
      </c>
      <c r="AF15" s="1858">
        <v>19</v>
      </c>
    </row>
    <row customHeight="1" ht="24">
      <c r="D16" s="1865"/>
      <c r="E16" s="1857" t="s">
        <v>110</v>
      </c>
      <c r="F16" s="1892" t="s">
        <v>786</v>
      </c>
      <c r="G16" s="1884" t="s">
        <v>561</v>
      </c>
      <c r="H16" s="785">
        <f>SUM(H17,H20:H27)</f>
        <v>0</v>
      </c>
      <c r="I16" s="785">
        <f>SUM(I17,I20:I27)</f>
        <v>0</v>
      </c>
      <c r="J16" s="516" t="s">
        <v>787</v>
      </c>
      <c r="K16" s="770" t="s">
        <v>639</v>
      </c>
      <c r="AF16" s="1858">
        <v>23</v>
      </c>
    </row>
    <row customHeight="1" ht="35.699999999999996">
      <c r="D17" s="1865"/>
      <c r="E17" s="1891" t="s">
        <v>717</v>
      </c>
      <c r="F17" s="1894" t="s">
        <v>788</v>
      </c>
      <c r="G17" s="1881" t="s">
        <v>561</v>
      </c>
      <c r="H17" s="784"/>
      <c r="I17" s="784"/>
      <c r="J17" s="516" t="s">
        <v>789</v>
      </c>
      <c r="K17" s="770"/>
      <c r="AF17" s="1858">
        <v>34</v>
      </c>
    </row>
    <row customHeight="1" ht="19.95">
      <c r="D18" s="1865"/>
      <c r="E18" s="1891" t="s">
        <v>720</v>
      </c>
      <c r="F18" s="1895" t="s">
        <v>790</v>
      </c>
      <c r="G18" s="1881" t="s">
        <v>561</v>
      </c>
      <c r="H18" s="784"/>
      <c r="I18" s="784"/>
      <c r="J18" s="516"/>
      <c r="K18" s="770"/>
      <c r="AF18" s="1858">
        <v>19</v>
      </c>
    </row>
    <row customHeight="1" ht="24">
      <c r="D19" s="1865"/>
      <c r="E19" s="1891" t="s">
        <v>723</v>
      </c>
      <c r="F19" s="1895" t="s">
        <v>791</v>
      </c>
      <c r="G19" s="1881" t="s">
        <v>561</v>
      </c>
      <c r="H19" s="784"/>
      <c r="I19" s="784"/>
      <c r="J19" s="516"/>
      <c r="K19" s="770"/>
      <c r="AF19" s="1858">
        <v>23</v>
      </c>
    </row>
    <row customHeight="1" ht="35.699999999999996">
      <c r="D20" s="1865"/>
      <c r="E20" s="1891" t="s">
        <v>312</v>
      </c>
      <c r="F20" s="1894" t="s">
        <v>792</v>
      </c>
      <c r="G20" s="1881" t="s">
        <v>561</v>
      </c>
      <c r="H20" s="784"/>
      <c r="I20" s="784"/>
      <c r="J20" s="516"/>
      <c r="K20" s="770"/>
      <c r="AF20" s="1858">
        <v>34</v>
      </c>
    </row>
    <row customHeight="1" ht="48.29999999999999">
      <c r="D21" s="1865"/>
      <c r="E21" s="1891" t="s">
        <v>315</v>
      </c>
      <c r="F21" s="1894" t="s">
        <v>793</v>
      </c>
      <c r="G21" s="1881" t="s">
        <v>561</v>
      </c>
      <c r="H21" s="784"/>
      <c r="I21" s="784"/>
      <c r="J21" s="516"/>
      <c r="K21" s="770"/>
      <c r="AF21" s="1858">
        <v>46</v>
      </c>
    </row>
    <row customHeight="1" ht="60">
      <c r="D22" s="1865"/>
      <c r="E22" s="1891" t="s">
        <v>737</v>
      </c>
      <c r="F22" s="1894" t="s">
        <v>794</v>
      </c>
      <c r="G22" s="1881" t="s">
        <v>561</v>
      </c>
      <c r="H22" s="784"/>
      <c r="I22" s="784"/>
      <c r="J22" s="516"/>
      <c r="K22" s="770"/>
      <c r="AF22" s="1858">
        <v>57</v>
      </c>
    </row>
    <row customHeight="1" ht="35.699999999999996">
      <c r="D23" s="1865"/>
      <c r="E23" s="1891" t="s">
        <v>744</v>
      </c>
      <c r="F23" s="1894" t="s">
        <v>795</v>
      </c>
      <c r="G23" s="1881" t="s">
        <v>561</v>
      </c>
      <c r="H23" s="784"/>
      <c r="I23" s="784"/>
      <c r="J23" s="516"/>
      <c r="K23" s="770"/>
      <c r="AF23" s="1858">
        <v>34</v>
      </c>
    </row>
    <row customHeight="1" ht="35.699999999999996">
      <c r="D24" s="1865"/>
      <c r="E24" s="1891" t="s">
        <v>746</v>
      </c>
      <c r="F24" s="1894" t="s">
        <v>796</v>
      </c>
      <c r="G24" s="1881" t="s">
        <v>561</v>
      </c>
      <c r="H24" s="784"/>
      <c r="I24" s="784"/>
      <c r="J24" s="516"/>
      <c r="K24" s="770"/>
      <c r="AF24" s="1858">
        <v>34</v>
      </c>
    </row>
    <row customHeight="1" ht="24">
      <c r="D25" s="1865"/>
      <c r="E25" s="1891" t="s">
        <v>748</v>
      </c>
      <c r="F25" s="1894" t="s">
        <v>797</v>
      </c>
      <c r="G25" s="1881" t="s">
        <v>561</v>
      </c>
      <c r="H25" s="784"/>
      <c r="I25" s="784"/>
      <c r="J25" s="516"/>
      <c r="K25" s="770"/>
      <c r="AF25" s="1858">
        <v>23</v>
      </c>
    </row>
    <row customHeight="1" ht="76.5">
      <c r="D26" s="1865"/>
      <c r="E26" s="1891" t="s">
        <v>750</v>
      </c>
      <c r="F26" s="1894" t="s">
        <v>798</v>
      </c>
      <c r="G26" s="1881" t="s">
        <v>561</v>
      </c>
      <c r="H26" s="784"/>
      <c r="I26" s="784"/>
      <c r="J26" s="516"/>
      <c r="K26" s="770"/>
      <c r="AF26" s="1858">
        <v>73</v>
      </c>
    </row>
    <row s="13221" customFormat="1" customHeight="1" ht="35.699999999999996">
      <c r="A27" s="1214"/>
      <c r="C27" s="1863"/>
      <c r="D27" s="1865"/>
      <c r="E27" s="1856" t="s">
        <v>754</v>
      </c>
      <c r="F27" s="1855" t="s">
        <v>799</v>
      </c>
      <c r="G27" s="1882" t="s">
        <v>561</v>
      </c>
      <c r="H27" s="806">
        <f>SUM(H28:H29)</f>
        <v>0</v>
      </c>
      <c r="I27" s="806">
        <f>SUM(I28:I29)</f>
        <v>0</v>
      </c>
      <c r="J27" s="516" t="s">
        <v>752</v>
      </c>
      <c r="K27" s="770"/>
      <c r="L27" s="1863"/>
      <c r="M27" s="1863"/>
      <c r="R27" s="1863"/>
      <c r="U27" s="771"/>
      <c r="AA27" s="1859"/>
      <c r="AB27" s="1859"/>
      <c r="AC27" s="1859"/>
      <c r="AD27" s="1859"/>
      <c r="AE27" s="1859"/>
      <c r="AF27" s="1387">
        <v>34</v>
      </c>
    </row>
    <row s="13222" customFormat="1" customHeight="1" ht="1.05">
      <c r="A28" s="1394"/>
      <c r="D28" s="775"/>
      <c r="E28" s="1029" t="str">
        <f>E27&amp;".0"</f>
        <v>2.9.0</v>
      </c>
      <c r="F28" s="1218"/>
      <c r="G28" s="778"/>
      <c r="H28" s="1219"/>
      <c r="I28" s="1219"/>
      <c r="J28" s="1220"/>
      <c r="AF28" s="1863">
        <v>1</v>
      </c>
    </row>
    <row s="13221" customFormat="1" customHeight="1" ht="19.95">
      <c r="A29" s="1214"/>
      <c r="C29" s="1863"/>
      <c r="D29" s="1860"/>
      <c r="E29" s="797"/>
      <c r="F29" s="1893" t="s">
        <v>586</v>
      </c>
      <c r="G29" s="799"/>
      <c r="H29" s="800"/>
      <c r="I29" s="800"/>
      <c r="J29" s="528" t="s">
        <v>753</v>
      </c>
      <c r="K29" s="770"/>
      <c r="L29" s="1863"/>
      <c r="M29" s="1863"/>
      <c r="R29" s="1863"/>
      <c r="U29" s="771"/>
      <c r="AA29" s="1859"/>
      <c r="AB29" s="1859"/>
      <c r="AC29" s="1859"/>
      <c r="AD29" s="1859"/>
      <c r="AE29" s="1859"/>
      <c r="AF29" s="1387">
        <v>19</v>
      </c>
    </row>
    <row s="13221" customFormat="1" customHeight="1" ht="24">
      <c r="A30" s="1214"/>
      <c r="C30" s="1863"/>
      <c r="D30" s="1865"/>
      <c r="E30" s="1891" t="s">
        <v>90</v>
      </c>
      <c r="F30" s="1888" t="s">
        <v>800</v>
      </c>
      <c r="G30" s="1881" t="s">
        <v>561</v>
      </c>
      <c r="H30" s="784"/>
      <c r="I30" s="784"/>
      <c r="J30" s="516"/>
      <c r="K30" s="770"/>
      <c r="L30" s="1863"/>
      <c r="M30" s="1863"/>
      <c r="R30" s="1863"/>
      <c r="U30" s="771"/>
      <c r="AA30" s="1859"/>
      <c r="AB30" s="1859"/>
      <c r="AC30" s="1859"/>
      <c r="AD30" s="1859"/>
      <c r="AE30" s="1859"/>
      <c r="AF30" s="1387">
        <v>23</v>
      </c>
    </row>
    <row s="13221" customFormat="1" customHeight="1" ht="35.699999999999996">
      <c r="A31" s="1214"/>
      <c r="C31" s="1863"/>
      <c r="D31" s="802"/>
      <c r="E31" s="1891" t="s">
        <v>91</v>
      </c>
      <c r="F31" s="1888" t="s">
        <v>801</v>
      </c>
      <c r="G31" s="1881" t="s">
        <v>561</v>
      </c>
      <c r="H31" s="784"/>
      <c r="I31" s="784"/>
      <c r="J31" s="516" t="s">
        <v>802</v>
      </c>
      <c r="K31" s="770"/>
      <c r="L31" s="1863"/>
      <c r="M31" s="1863"/>
      <c r="R31" s="1863"/>
      <c r="U31" s="771"/>
      <c r="AA31" s="1859"/>
      <c r="AB31" s="1859"/>
      <c r="AC31" s="1859"/>
      <c r="AD31" s="1859"/>
      <c r="AE31" s="1859"/>
      <c r="AF31" s="1387">
        <v>34</v>
      </c>
    </row>
    <row s="13221" customFormat="1" customHeight="1" ht="24">
      <c r="A32" s="1214"/>
      <c r="C32" s="1863"/>
      <c r="D32" s="1865"/>
      <c r="E32" s="1891" t="s">
        <v>762</v>
      </c>
      <c r="F32" s="917" t="s">
        <v>766</v>
      </c>
      <c r="G32" s="1881" t="s">
        <v>561</v>
      </c>
      <c r="H32" s="784"/>
      <c r="I32" s="784"/>
      <c r="J32" s="516" t="s">
        <v>803</v>
      </c>
      <c r="K32" s="770"/>
      <c r="L32" s="1863"/>
      <c r="M32" s="1863"/>
      <c r="R32" s="1863"/>
      <c r="U32" s="771"/>
      <c r="AA32" s="1859"/>
      <c r="AB32" s="1859"/>
      <c r="AC32" s="1859"/>
      <c r="AD32" s="1859"/>
      <c r="AE32" s="1859"/>
      <c r="AF32" s="1387">
        <v>23</v>
      </c>
    </row>
    <row s="13221" customFormat="1" customHeight="1" ht="24">
      <c r="A33" s="1214"/>
      <c r="C33" s="1863"/>
      <c r="D33" s="1865"/>
      <c r="E33" s="1891" t="s">
        <v>804</v>
      </c>
      <c r="F33" s="917" t="s">
        <v>805</v>
      </c>
      <c r="G33" s="1881" t="s">
        <v>561</v>
      </c>
      <c r="H33" s="784"/>
      <c r="I33" s="784"/>
      <c r="J33" s="516" t="s">
        <v>806</v>
      </c>
      <c r="K33" s="770"/>
      <c r="L33" s="1863"/>
      <c r="M33" s="1863"/>
      <c r="R33" s="1863"/>
      <c r="U33" s="771"/>
      <c r="AA33" s="1859"/>
      <c r="AB33" s="1859"/>
      <c r="AC33" s="1859"/>
      <c r="AD33" s="1859"/>
      <c r="AE33" s="1859"/>
      <c r="AF33" s="1387">
        <v>23</v>
      </c>
    </row>
    <row s="13221" customFormat="1" customHeight="1" ht="24">
      <c r="A34" s="1214"/>
      <c r="C34" s="1863"/>
      <c r="D34" s="1865"/>
      <c r="E34" s="1891" t="s">
        <v>807</v>
      </c>
      <c r="F34" s="917" t="s">
        <v>772</v>
      </c>
      <c r="G34" s="1881" t="s">
        <v>561</v>
      </c>
      <c r="H34" s="784"/>
      <c r="I34" s="784"/>
      <c r="J34" s="516" t="s">
        <v>808</v>
      </c>
      <c r="K34" s="770"/>
      <c r="L34" s="1863"/>
      <c r="M34" s="1863"/>
      <c r="R34" s="1863"/>
      <c r="U34" s="771"/>
      <c r="AA34" s="1859"/>
      <c r="AB34" s="1859"/>
      <c r="AC34" s="1859"/>
      <c r="AD34" s="1859"/>
      <c r="AE34" s="1859"/>
      <c r="AF34" s="1387">
        <v>23</v>
      </c>
    </row>
    <row s="13221" customFormat="1" customHeight="1" ht="35.699999999999996">
      <c r="A35" s="1214"/>
      <c r="C35" s="1863" t="s">
        <v>597</v>
      </c>
      <c r="D35" s="1865"/>
      <c r="E35" s="1891" t="s">
        <v>111</v>
      </c>
      <c r="F35" s="1888" t="s">
        <v>638</v>
      </c>
      <c r="G35" s="1884" t="s">
        <v>311</v>
      </c>
      <c r="H35" s="628"/>
      <c r="I35" s="628"/>
      <c r="J35" s="516" t="s">
        <v>809</v>
      </c>
      <c r="K35" s="770"/>
      <c r="L35" s="1863"/>
      <c r="M35" s="1863"/>
      <c r="R35" s="1863"/>
      <c r="U35" s="771"/>
      <c r="AA35" s="1859"/>
      <c r="AB35" s="1859"/>
      <c r="AC35" s="1859"/>
      <c r="AD35" s="1859"/>
      <c r="AE35" s="1859"/>
      <c r="AF35" s="1387">
        <v>34</v>
      </c>
    </row>
    <row s="13221" customFormat="1" customHeight="1" ht="35.699999999999996">
      <c r="A36" s="1214"/>
      <c r="C36" s="1863"/>
      <c r="D36" s="1865"/>
      <c r="E36" s="1891" t="s">
        <v>92</v>
      </c>
      <c r="F36" s="1888" t="s">
        <v>810</v>
      </c>
      <c r="G36" s="1881" t="s">
        <v>777</v>
      </c>
      <c r="H36" s="772"/>
      <c r="I36" s="772"/>
      <c r="J36" s="516" t="s">
        <v>778</v>
      </c>
      <c r="K36" s="770"/>
      <c r="L36" s="1863"/>
      <c r="M36" s="1863"/>
      <c r="R36" s="1863"/>
      <c r="U36" s="771"/>
      <c r="AA36" s="1859"/>
      <c r="AB36" s="1859"/>
      <c r="AC36" s="1859"/>
      <c r="AD36" s="1859"/>
      <c r="AE36" s="1859"/>
      <c r="AF36" s="1387">
        <v>34</v>
      </c>
    </row>
    <row s="13221" customFormat="1" customHeight="1" ht="24">
      <c r="A37" s="1214"/>
      <c r="C37" s="1863"/>
      <c r="D37" s="1865"/>
      <c r="E37" s="1891" t="s">
        <v>93</v>
      </c>
      <c r="F37" s="1888" t="s">
        <v>811</v>
      </c>
      <c r="G37" s="1881" t="s">
        <v>780</v>
      </c>
      <c r="H37" s="772"/>
      <c r="I37" s="772"/>
      <c r="J37" s="516" t="s">
        <v>781</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812</v>
      </c>
      <c r="F39" s="2512" t="s">
        <v>813</v>
      </c>
      <c r="G39" s="2512"/>
      <c r="H39" s="596"/>
      <c r="I39" s="596"/>
      <c r="J39" s="596"/>
      <c r="AF39" s="1858">
        <v>26</v>
      </c>
    </row>
    <row s="13827" customFormat="1" customHeight="1" ht="39.75">
      <c r="A40" s="1214"/>
      <c r="B40" s="1863"/>
      <c r="C40" s="1863"/>
      <c r="D40" s="578"/>
      <c r="F40" s="2512" t="s">
        <v>814</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3827"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3827"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3827"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3827"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3827"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3827"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3827"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382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382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3827"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382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382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382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382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382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382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382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382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382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382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382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382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382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382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382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382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382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382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382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382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382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382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382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382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382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382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382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382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382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382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382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382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382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382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382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382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382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382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382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382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382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382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382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382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382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382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382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382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382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382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382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382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382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382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382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382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382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382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382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382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382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382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382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382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382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382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382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382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382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382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382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382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382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382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382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382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382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382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382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382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382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382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382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82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82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82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82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82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82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82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82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82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82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82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82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82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82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82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82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82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82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82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82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82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82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82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82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82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82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82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82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82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82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82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82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82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82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82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82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82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82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82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82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82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82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82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82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82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82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82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82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82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82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82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82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82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82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82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82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82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82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82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82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82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82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465A1-7DD1-3AD4-CD42-55ACE88AD6A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514" width="9.140625" hidden="1" customWidth="1"/>
    <col min="2" max="2" style="13222" width="3.57421875" hidden="1" customWidth="1"/>
    <col min="3" max="3" style="13141" width="3.00390625" customWidth="1"/>
    <col min="4" max="4" style="13141" width="7.00390625" customWidth="1"/>
    <col min="5" max="5" style="13141" width="69.00390625" customWidth="1"/>
    <col min="6" max="6" style="13141" width="10.00390625" customWidth="1"/>
    <col min="7" max="8" style="13141" width="44.00390625" hidden="1" customWidth="1"/>
    <col min="9" max="9" style="13141" width="44.00390625" customWidth="1"/>
    <col min="10" max="10" style="13141" width="43.00390625" customWidth="1"/>
    <col min="11" max="11" style="13141" width="73.00390625" customWidth="1"/>
    <col min="12" max="12" style="13141" width="3.00390625" customWidth="1"/>
    <col min="13" max="23" style="13141" width="10.00390625" customWidth="1"/>
    <col min="24" max="24" style="13141" width="10.57421875" hidden="1"/>
  </cols>
  <sheetData>
    <row s="13221"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3141" customFormat="1" customHeight="1" ht="21">
      <c r="A4" s="1178"/>
      <c r="B4" s="738"/>
      <c r="D4" s="2441" t="str">
        <f>IF(org=0,"Не определено",org)</f>
        <v>МУП "Уссурийск-Водоканал"</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573</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574</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3141" customFormat="1" customHeight="1" ht="11.549999999999999">
      <c r="A10" s="1248"/>
      <c r="B10" s="738"/>
      <c r="D10" s="2328" t="s">
        <v>305</v>
      </c>
      <c r="E10" s="2329"/>
      <c r="F10" s="2329"/>
      <c r="G10" s="2329"/>
      <c r="H10" s="2329"/>
      <c r="I10" s="2329"/>
      <c r="J10" s="2330"/>
      <c r="K10" s="2426"/>
      <c r="L10" s="736"/>
      <c r="X10" s="985">
        <v>11</v>
      </c>
    </row>
    <row s="13141" customFormat="1" customHeight="1" ht="24">
      <c r="A11" s="2612"/>
      <c r="B11" s="2612"/>
      <c r="C11" s="884"/>
      <c r="D11" s="930" t="s">
        <v>88</v>
      </c>
      <c r="E11" s="932" t="s">
        <v>815</v>
      </c>
      <c r="F11" s="932" t="s">
        <v>575</v>
      </c>
      <c r="G11" s="692" t="s">
        <v>308</v>
      </c>
      <c r="H11" s="692" t="s">
        <v>395</v>
      </c>
      <c r="I11" s="1034" t="s">
        <v>308</v>
      </c>
      <c r="J11" s="1035" t="s">
        <v>395</v>
      </c>
      <c r="K11" s="2459"/>
      <c r="L11" s="885"/>
      <c r="X11" s="736">
        <v>23</v>
      </c>
    </row>
    <row s="13222" customFormat="1" customHeight="1" ht="10.5">
      <c r="A12" s="1179"/>
      <c r="D12" s="1252" t="s">
        <v>109</v>
      </c>
      <c r="E12" s="1252" t="s">
        <v>110</v>
      </c>
      <c r="F12" s="1252" t="s">
        <v>90</v>
      </c>
      <c r="G12" s="1253" t="str">
        <f>G1&amp;".1"</f>
        <v>4.1</v>
      </c>
      <c r="H12" s="1253" t="str">
        <f>G1&amp;".2"</f>
        <v>4.2</v>
      </c>
      <c r="I12" s="1253" t="str">
        <f>I1&amp;".1"</f>
        <v>4.1</v>
      </c>
      <c r="J12" s="1253" t="str">
        <f>I1&amp;".2"</f>
        <v>4.2</v>
      </c>
      <c r="K12" s="1253"/>
      <c r="X12" s="738">
        <v>10</v>
      </c>
    </row>
    <row customHeight="1" ht="22.5" hidden="1">
      <c r="A13" s="2619" t="s">
        <v>816</v>
      </c>
      <c r="D13" s="1180" t="s">
        <v>109</v>
      </c>
      <c r="E13" s="506" t="s">
        <v>817</v>
      </c>
      <c r="F13" s="887" t="s">
        <v>818</v>
      </c>
      <c r="G13" s="784"/>
      <c r="H13" s="888"/>
      <c r="I13" s="784"/>
      <c r="J13" s="888"/>
      <c r="K13" s="516" t="s">
        <v>819</v>
      </c>
      <c r="L13" s="947"/>
      <c r="X13" s="732">
        <v>0</v>
      </c>
    </row>
    <row customHeight="1" ht="22.5" hidden="1">
      <c r="A14" s="2619"/>
      <c r="D14" s="766" t="s">
        <v>110</v>
      </c>
      <c r="E14" s="506" t="s">
        <v>820</v>
      </c>
      <c r="F14" s="887" t="s">
        <v>821</v>
      </c>
      <c r="G14" s="784"/>
      <c r="H14" s="889"/>
      <c r="I14" s="784"/>
      <c r="J14" s="889"/>
      <c r="K14" s="516" t="s">
        <v>822</v>
      </c>
      <c r="L14" s="947"/>
      <c r="X14" s="732">
        <v>0</v>
      </c>
    </row>
    <row s="13141" customFormat="1" customHeight="1" ht="78.75" hidden="1">
      <c r="A15" s="2619"/>
      <c r="B15" s="738"/>
      <c r="D15" s="1180" t="s">
        <v>90</v>
      </c>
      <c r="E15" s="934" t="s">
        <v>823</v>
      </c>
      <c r="F15" s="1177" t="s">
        <v>311</v>
      </c>
      <c r="G15" s="1177" t="s">
        <v>311</v>
      </c>
      <c r="H15" s="333"/>
      <c r="I15" s="1177" t="s">
        <v>311</v>
      </c>
      <c r="J15" s="333"/>
      <c r="K15" s="516" t="s">
        <v>824</v>
      </c>
      <c r="L15" s="947"/>
      <c r="X15" s="985">
        <v>0</v>
      </c>
    </row>
    <row s="13141" customFormat="1" customHeight="1" ht="22.5" hidden="1">
      <c r="A16" s="2619"/>
      <c r="B16" s="738"/>
      <c r="D16" s="1180" t="s">
        <v>329</v>
      </c>
      <c r="E16" s="1181" t="s">
        <v>825</v>
      </c>
      <c r="F16" s="1177" t="s">
        <v>826</v>
      </c>
      <c r="G16" s="1044"/>
      <c r="H16" s="333"/>
      <c r="I16" s="1044"/>
      <c r="J16" s="333"/>
      <c r="K16" s="516"/>
      <c r="L16" s="947"/>
      <c r="X16" s="985">
        <v>0</v>
      </c>
    </row>
    <row s="13141" customFormat="1" customHeight="1" ht="22.5" hidden="1">
      <c r="A17" s="2619"/>
      <c r="B17" s="738"/>
      <c r="D17" s="1180" t="s">
        <v>337</v>
      </c>
      <c r="E17" s="1181" t="s">
        <v>827</v>
      </c>
      <c r="F17" s="1177" t="s">
        <v>828</v>
      </c>
      <c r="G17" s="1044"/>
      <c r="H17" s="333"/>
      <c r="I17" s="1044"/>
      <c r="J17" s="333"/>
      <c r="K17" s="516"/>
      <c r="L17" s="947"/>
      <c r="X17" s="985">
        <v>0</v>
      </c>
    </row>
    <row s="13141" customFormat="1" customHeight="1" ht="33.75" hidden="1">
      <c r="A18" s="2619"/>
      <c r="B18" s="738"/>
      <c r="D18" s="1180" t="s">
        <v>339</v>
      </c>
      <c r="E18" s="1181" t="s">
        <v>829</v>
      </c>
      <c r="F18" s="1177" t="s">
        <v>580</v>
      </c>
      <c r="G18" s="907"/>
      <c r="H18" s="333"/>
      <c r="I18" s="907"/>
      <c r="J18" s="333"/>
      <c r="K18" s="516"/>
      <c r="L18" s="947"/>
      <c r="X18" s="985">
        <v>0</v>
      </c>
    </row>
    <row customHeight="1" ht="101.25" hidden="1">
      <c r="A19" s="2619"/>
      <c r="D19" s="1180" t="s">
        <v>91</v>
      </c>
      <c r="E19" s="506" t="s">
        <v>830</v>
      </c>
      <c r="F19" s="887" t="s">
        <v>555</v>
      </c>
      <c r="G19" s="890"/>
      <c r="H19" s="889"/>
      <c r="I19" s="1182"/>
      <c r="J19" s="889"/>
      <c r="K19" s="516" t="s">
        <v>831</v>
      </c>
      <c r="L19" s="947"/>
      <c r="X19" s="732">
        <v>0</v>
      </c>
    </row>
    <row s="13141" customFormat="1" customHeight="1" ht="18.75" hidden="1">
      <c r="A20" s="2619"/>
      <c r="C20" s="1183"/>
      <c r="D20" s="1180" t="s">
        <v>762</v>
      </c>
      <c r="E20" s="1181" t="s">
        <v>832</v>
      </c>
      <c r="F20" s="1177" t="s">
        <v>311</v>
      </c>
      <c r="G20" s="1177" t="s">
        <v>311</v>
      </c>
      <c r="H20" s="1176" t="s">
        <v>311</v>
      </c>
      <c r="I20" s="1177" t="s">
        <v>311</v>
      </c>
      <c r="J20" s="1176" t="s">
        <v>311</v>
      </c>
      <c r="K20" s="1175"/>
      <c r="L20" s="947"/>
      <c r="W20" s="902"/>
      <c r="X20" s="985">
        <v>0</v>
      </c>
    </row>
    <row s="13141" customFormat="1" customHeight="1" ht="33.75" hidden="1">
      <c r="A21" s="2619"/>
      <c r="C21" s="1183"/>
      <c r="D21" s="1180" t="s">
        <v>765</v>
      </c>
      <c r="E21" s="803" t="s">
        <v>833</v>
      </c>
      <c r="F21" s="1177" t="s">
        <v>834</v>
      </c>
      <c r="G21" s="907"/>
      <c r="H21" s="333"/>
      <c r="I21" s="907"/>
      <c r="J21" s="333"/>
      <c r="K21" s="1175"/>
      <c r="L21" s="947"/>
      <c r="W21" s="902"/>
      <c r="X21" s="985">
        <v>0</v>
      </c>
    </row>
    <row s="13141" customFormat="1" customHeight="1" ht="33.75" hidden="1">
      <c r="A22" s="2619"/>
      <c r="C22" s="1183"/>
      <c r="D22" s="1180" t="s">
        <v>768</v>
      </c>
      <c r="E22" s="803" t="s">
        <v>835</v>
      </c>
      <c r="F22" s="1177" t="s">
        <v>836</v>
      </c>
      <c r="G22" s="907"/>
      <c r="H22" s="333"/>
      <c r="I22" s="907"/>
      <c r="J22" s="333"/>
      <c r="K22" s="1175"/>
      <c r="L22" s="947"/>
      <c r="W22" s="902"/>
      <c r="X22" s="985">
        <v>0</v>
      </c>
    </row>
    <row s="13141" customFormat="1" customHeight="1" ht="22.5" hidden="1">
      <c r="A23" s="2619"/>
      <c r="C23" s="1183"/>
      <c r="D23" s="1180" t="s">
        <v>804</v>
      </c>
      <c r="E23" s="1181" t="s">
        <v>837</v>
      </c>
      <c r="F23" s="1177" t="s">
        <v>311</v>
      </c>
      <c r="G23" s="1177" t="s">
        <v>311</v>
      </c>
      <c r="H23" s="1176" t="s">
        <v>311</v>
      </c>
      <c r="I23" s="1177" t="s">
        <v>311</v>
      </c>
      <c r="J23" s="1176" t="s">
        <v>311</v>
      </c>
      <c r="K23" s="1175"/>
      <c r="L23" s="947"/>
      <c r="W23" s="902"/>
      <c r="X23" s="985">
        <v>0</v>
      </c>
    </row>
    <row s="13141" customFormat="1" customHeight="1" ht="22.5" hidden="1">
      <c r="A24" s="2619"/>
      <c r="C24" s="1183"/>
      <c r="D24" s="1180" t="s">
        <v>838</v>
      </c>
      <c r="E24" s="803" t="s">
        <v>839</v>
      </c>
      <c r="F24" s="1177" t="s">
        <v>840</v>
      </c>
      <c r="G24" s="907"/>
      <c r="H24" s="913"/>
      <c r="I24" s="907"/>
      <c r="J24" s="913"/>
      <c r="K24" s="1175"/>
      <c r="L24" s="947"/>
      <c r="W24" s="902"/>
      <c r="X24" s="985">
        <v>0</v>
      </c>
    </row>
    <row s="13141" customFormat="1" customHeight="1" ht="22.5" hidden="1">
      <c r="A25" s="2619"/>
      <c r="C25" s="1183"/>
      <c r="D25" s="1180" t="s">
        <v>841</v>
      </c>
      <c r="E25" s="803" t="s">
        <v>842</v>
      </c>
      <c r="F25" s="1177" t="s">
        <v>311</v>
      </c>
      <c r="G25" s="1177" t="s">
        <v>311</v>
      </c>
      <c r="H25" s="1176" t="s">
        <v>311</v>
      </c>
      <c r="I25" s="1177" t="s">
        <v>311</v>
      </c>
      <c r="J25" s="1176" t="s">
        <v>311</v>
      </c>
      <c r="K25" s="1175"/>
      <c r="L25" s="947"/>
      <c r="W25" s="902"/>
      <c r="X25" s="985">
        <v>0</v>
      </c>
    </row>
    <row s="13141" customFormat="1" customHeight="1" ht="18.75" hidden="1">
      <c r="A26" s="2619"/>
      <c r="C26" s="1183"/>
      <c r="D26" s="1180" t="s">
        <v>843</v>
      </c>
      <c r="E26" s="780" t="s">
        <v>844</v>
      </c>
      <c r="F26" s="1177" t="s">
        <v>845</v>
      </c>
      <c r="G26" s="907"/>
      <c r="H26" s="913"/>
      <c r="I26" s="907"/>
      <c r="J26" s="913"/>
      <c r="K26" s="1175"/>
      <c r="L26" s="947"/>
      <c r="W26" s="902"/>
      <c r="X26" s="985">
        <v>0</v>
      </c>
    </row>
    <row s="13141" customFormat="1" customHeight="1" ht="18.75" hidden="1">
      <c r="A27" s="2619"/>
      <c r="C27" s="1183"/>
      <c r="D27" s="1180" t="s">
        <v>846</v>
      </c>
      <c r="E27" s="780" t="s">
        <v>847</v>
      </c>
      <c r="F27" s="1177" t="s">
        <v>848</v>
      </c>
      <c r="G27" s="907"/>
      <c r="H27" s="913"/>
      <c r="I27" s="907"/>
      <c r="J27" s="913"/>
      <c r="K27" s="1175"/>
      <c r="L27" s="947"/>
      <c r="W27" s="902"/>
      <c r="X27" s="985">
        <v>0</v>
      </c>
    </row>
    <row s="13141" customFormat="1" customHeight="1" ht="18.75" hidden="1">
      <c r="A28" s="2619"/>
      <c r="C28" s="1183"/>
      <c r="D28" s="1180" t="s">
        <v>849</v>
      </c>
      <c r="E28" s="803" t="s">
        <v>850</v>
      </c>
      <c r="F28" s="1177" t="s">
        <v>311</v>
      </c>
      <c r="G28" s="1177" t="s">
        <v>311</v>
      </c>
      <c r="H28" s="1176" t="s">
        <v>311</v>
      </c>
      <c r="I28" s="1177" t="s">
        <v>311</v>
      </c>
      <c r="J28" s="1176" t="s">
        <v>311</v>
      </c>
      <c r="K28" s="1175"/>
      <c r="L28" s="947"/>
      <c r="W28" s="902"/>
      <c r="X28" s="985">
        <v>0</v>
      </c>
    </row>
    <row s="13141" customFormat="1" customHeight="1" ht="18.75" hidden="1">
      <c r="A29" s="2619"/>
      <c r="C29" s="1183"/>
      <c r="D29" s="1180" t="s">
        <v>851</v>
      </c>
      <c r="E29" s="780" t="s">
        <v>844</v>
      </c>
      <c r="F29" s="1177" t="s">
        <v>852</v>
      </c>
      <c r="G29" s="907"/>
      <c r="H29" s="913"/>
      <c r="I29" s="907"/>
      <c r="J29" s="913"/>
      <c r="K29" s="1175"/>
      <c r="L29" s="947"/>
      <c r="W29" s="902"/>
      <c r="X29" s="985">
        <v>0</v>
      </c>
    </row>
    <row s="13141" customFormat="1" customHeight="1" ht="18.75" hidden="1">
      <c r="A30" s="2619"/>
      <c r="C30" s="1183"/>
      <c r="D30" s="1180" t="s">
        <v>853</v>
      </c>
      <c r="E30" s="780" t="s">
        <v>854</v>
      </c>
      <c r="F30" s="1177" t="s">
        <v>855</v>
      </c>
      <c r="G30" s="907"/>
      <c r="H30" s="913"/>
      <c r="I30" s="907"/>
      <c r="J30" s="913"/>
      <c r="K30" s="1175"/>
      <c r="L30" s="947"/>
      <c r="W30" s="902"/>
      <c r="X30" s="985">
        <v>0</v>
      </c>
    </row>
    <row customHeight="1" ht="126.75" hidden="1">
      <c r="A31" s="2619"/>
      <c r="D31" s="1180" t="s">
        <v>111</v>
      </c>
      <c r="E31" s="506" t="s">
        <v>856</v>
      </c>
      <c r="F31" s="887" t="s">
        <v>567</v>
      </c>
      <c r="G31" s="784"/>
      <c r="H31" s="889"/>
      <c r="I31" s="784"/>
      <c r="J31" s="889"/>
      <c r="K31" s="516" t="s">
        <v>857</v>
      </c>
      <c r="L31" s="947"/>
      <c r="X31" s="732">
        <v>0</v>
      </c>
    </row>
    <row customHeight="1" ht="56.25" hidden="1">
      <c r="A32" s="2619"/>
      <c r="D32" s="1180" t="s">
        <v>92</v>
      </c>
      <c r="E32" s="506" t="s">
        <v>858</v>
      </c>
      <c r="F32" s="766" t="s">
        <v>828</v>
      </c>
      <c r="G32" s="784"/>
      <c r="H32" s="889"/>
      <c r="I32" s="784"/>
      <c r="J32" s="889"/>
      <c r="K32" s="516" t="s">
        <v>859</v>
      </c>
      <c r="L32" s="947"/>
      <c r="X32" s="732">
        <v>0</v>
      </c>
    </row>
    <row customHeight="1" ht="11.25" hidden="1">
      <c r="A33" s="2619"/>
      <c r="E33" s="891"/>
      <c r="F33" s="408"/>
      <c r="G33" s="408"/>
      <c r="H33" s="408"/>
      <c r="I33" s="408"/>
      <c r="J33" s="408"/>
      <c r="K33" s="408"/>
      <c r="X33" s="732">
        <v>0</v>
      </c>
    </row>
    <row customHeight="1" ht="12.75" hidden="1">
      <c r="A34" s="2619"/>
      <c r="D34" s="292">
        <v>1</v>
      </c>
      <c r="E34" s="562" t="s">
        <v>860</v>
      </c>
      <c r="X34" s="732">
        <v>0</v>
      </c>
    </row>
    <row customHeight="1" ht="11.25" hidden="1">
      <c r="A35" s="2619"/>
      <c r="D35" s="596"/>
      <c r="E35" s="562" t="s">
        <v>861</v>
      </c>
      <c r="X35" s="732">
        <v>0</v>
      </c>
    </row>
    <row s="13141" customFormat="1" customHeight="1" ht="11.549999999999999">
      <c r="A36" s="1260"/>
      <c r="B36" s="745"/>
      <c r="D36" s="1261"/>
      <c r="E36" s="1262"/>
      <c r="X36" s="736">
        <v>11</v>
      </c>
    </row>
    <row s="13141" customFormat="1" customHeight="1" ht="22.5">
      <c r="A37" s="2619" t="s">
        <v>862</v>
      </c>
      <c r="B37" s="738"/>
      <c r="D37" s="1180">
        <v>1</v>
      </c>
      <c r="E37" s="934" t="s">
        <v>863</v>
      </c>
      <c r="F37" s="887" t="s">
        <v>818</v>
      </c>
      <c r="G37" s="784"/>
      <c r="H37" s="746"/>
      <c r="I37" s="784"/>
      <c r="J37" s="746"/>
      <c r="K37" s="516" t="s">
        <v>864</v>
      </c>
      <c r="X37" s="985">
        <v>0</v>
      </c>
    </row>
    <row s="13141" customFormat="1" customHeight="1" ht="22.5">
      <c r="A38" s="2619"/>
      <c r="B38" s="738"/>
      <c r="D38" s="896" t="s">
        <v>110</v>
      </c>
      <c r="E38" s="1259" t="s">
        <v>865</v>
      </c>
      <c r="F38" s="1263" t="s">
        <v>555</v>
      </c>
      <c r="G38" s="1263" t="s">
        <v>555</v>
      </c>
      <c r="H38" s="1257"/>
      <c r="I38" s="1263" t="s">
        <v>555</v>
      </c>
      <c r="J38" s="1257"/>
      <c r="K38" s="1258"/>
      <c r="X38" s="985">
        <v>0</v>
      </c>
    </row>
    <row s="13141" customFormat="1" customHeight="1" ht="33.75">
      <c r="A39" s="2619"/>
      <c r="B39" s="738"/>
      <c r="D39" s="892" t="s">
        <v>720</v>
      </c>
      <c r="E39" s="950" t="s">
        <v>866</v>
      </c>
      <c r="F39" s="887" t="s">
        <v>867</v>
      </c>
      <c r="G39" s="895"/>
      <c r="H39" s="1250"/>
      <c r="I39" s="895"/>
      <c r="J39" s="1250"/>
      <c r="K39" s="516" t="s">
        <v>868</v>
      </c>
      <c r="X39" s="985">
        <v>0</v>
      </c>
    </row>
    <row s="13141" customFormat="1" customHeight="1" ht="33.75">
      <c r="A40" s="2619"/>
      <c r="B40" s="738"/>
      <c r="D40" s="892" t="s">
        <v>723</v>
      </c>
      <c r="E40" s="950" t="s">
        <v>869</v>
      </c>
      <c r="F40" s="1254" t="s">
        <v>870</v>
      </c>
      <c r="G40" s="968"/>
      <c r="H40" s="1250"/>
      <c r="I40" s="968"/>
      <c r="J40" s="1250"/>
      <c r="K40" s="516" t="s">
        <v>871</v>
      </c>
      <c r="X40" s="985">
        <v>0</v>
      </c>
    </row>
    <row s="13141" customFormat="1" customHeight="1" ht="22.5">
      <c r="A41" s="2619"/>
      <c r="B41" s="738"/>
      <c r="D41" s="892" t="s">
        <v>90</v>
      </c>
      <c r="E41" s="949" t="s">
        <v>872</v>
      </c>
      <c r="F41" s="887" t="s">
        <v>555</v>
      </c>
      <c r="G41" s="887" t="s">
        <v>555</v>
      </c>
      <c r="H41" s="1251"/>
      <c r="I41" s="887" t="s">
        <v>555</v>
      </c>
      <c r="J41" s="1251"/>
      <c r="K41" s="529"/>
      <c r="X41" s="985">
        <v>0</v>
      </c>
    </row>
    <row s="13141" customFormat="1" customHeight="1" ht="45">
      <c r="A42" s="2619"/>
      <c r="B42" s="738"/>
      <c r="D42" s="892" t="s">
        <v>329</v>
      </c>
      <c r="E42" s="950" t="s">
        <v>873</v>
      </c>
      <c r="F42" s="887" t="s">
        <v>567</v>
      </c>
      <c r="G42" s="784"/>
      <c r="H42" s="1251"/>
      <c r="I42" s="784"/>
      <c r="J42" s="1251"/>
      <c r="K42" s="529" t="s">
        <v>874</v>
      </c>
      <c r="X42" s="985">
        <v>0</v>
      </c>
    </row>
    <row s="13141" customFormat="1" customHeight="1" ht="45">
      <c r="A43" s="2619"/>
      <c r="B43" s="738"/>
      <c r="D43" s="892" t="s">
        <v>337</v>
      </c>
      <c r="E43" s="894" t="s">
        <v>875</v>
      </c>
      <c r="F43" s="1255" t="s">
        <v>567</v>
      </c>
      <c r="G43" s="969"/>
      <c r="H43" s="1250"/>
      <c r="I43" s="969"/>
      <c r="J43" s="1250"/>
      <c r="K43" s="529" t="s">
        <v>876</v>
      </c>
      <c r="X43" s="985">
        <v>0</v>
      </c>
    </row>
    <row s="13141" customFormat="1" customHeight="1" ht="11.25">
      <c r="A44" s="2619"/>
      <c r="B44" s="738"/>
      <c r="D44" s="892" t="s">
        <v>91</v>
      </c>
      <c r="E44" s="893" t="s">
        <v>877</v>
      </c>
      <c r="F44" s="887" t="s">
        <v>867</v>
      </c>
      <c r="G44" s="895"/>
      <c r="H44" s="1250"/>
      <c r="I44" s="895"/>
      <c r="J44" s="1250"/>
      <c r="K44" s="516"/>
      <c r="X44" s="985">
        <v>0</v>
      </c>
    </row>
    <row s="13141" customFormat="1" customHeight="1" ht="11.25">
      <c r="A45" s="2619"/>
      <c r="B45" s="738"/>
      <c r="D45" s="892" t="s">
        <v>762</v>
      </c>
      <c r="E45" s="894" t="s">
        <v>878</v>
      </c>
      <c r="F45" s="887" t="s">
        <v>867</v>
      </c>
      <c r="G45" s="895"/>
      <c r="H45" s="1250"/>
      <c r="I45" s="895"/>
      <c r="J45" s="1250"/>
      <c r="K45" s="516"/>
      <c r="X45" s="985">
        <v>0</v>
      </c>
    </row>
    <row s="13141" customFormat="1" customHeight="1" ht="11.25">
      <c r="A46" s="2619"/>
      <c r="B46" s="738"/>
      <c r="D46" s="892" t="s">
        <v>804</v>
      </c>
      <c r="E46" s="894" t="s">
        <v>879</v>
      </c>
      <c r="F46" s="887" t="s">
        <v>867</v>
      </c>
      <c r="G46" s="895"/>
      <c r="H46" s="1250"/>
      <c r="I46" s="895"/>
      <c r="J46" s="1250"/>
      <c r="K46" s="516"/>
      <c r="X46" s="985">
        <v>0</v>
      </c>
    </row>
    <row s="13141" customFormat="1" customHeight="1" ht="11.25">
      <c r="A47" s="2619"/>
      <c r="B47" s="738"/>
      <c r="D47" s="892" t="s">
        <v>807</v>
      </c>
      <c r="E47" s="894" t="s">
        <v>880</v>
      </c>
      <c r="F47" s="887" t="s">
        <v>867</v>
      </c>
      <c r="G47" s="895"/>
      <c r="H47" s="1250"/>
      <c r="I47" s="895"/>
      <c r="J47" s="1250"/>
      <c r="K47" s="516"/>
      <c r="X47" s="985">
        <v>0</v>
      </c>
    </row>
    <row s="13141" customFormat="1" customHeight="1" ht="11.25">
      <c r="A48" s="2619"/>
      <c r="B48" s="738"/>
      <c r="D48" s="892" t="s">
        <v>881</v>
      </c>
      <c r="E48" s="898" t="s">
        <v>882</v>
      </c>
      <c r="F48" s="887" t="s">
        <v>867</v>
      </c>
      <c r="G48" s="895"/>
      <c r="H48" s="1250"/>
      <c r="I48" s="895"/>
      <c r="J48" s="1250"/>
      <c r="K48" s="516"/>
      <c r="X48" s="985">
        <v>0</v>
      </c>
    </row>
    <row s="13141" customFormat="1" customHeight="1" ht="11.25">
      <c r="A49" s="2619"/>
      <c r="B49" s="738"/>
      <c r="D49" s="892" t="s">
        <v>883</v>
      </c>
      <c r="E49" s="898" t="s">
        <v>884</v>
      </c>
      <c r="F49" s="887" t="s">
        <v>867</v>
      </c>
      <c r="G49" s="895"/>
      <c r="H49" s="1250"/>
      <c r="I49" s="895"/>
      <c r="J49" s="1250"/>
      <c r="K49" s="516"/>
      <c r="X49" s="985">
        <v>0</v>
      </c>
    </row>
    <row s="13141" customFormat="1" customHeight="1" ht="11.25">
      <c r="A50" s="2619"/>
      <c r="B50" s="738"/>
      <c r="D50" s="892" t="s">
        <v>885</v>
      </c>
      <c r="E50" s="894" t="s">
        <v>886</v>
      </c>
      <c r="F50" s="887" t="s">
        <v>867</v>
      </c>
      <c r="G50" s="895"/>
      <c r="H50" s="1250"/>
      <c r="I50" s="895"/>
      <c r="J50" s="1250"/>
      <c r="K50" s="516"/>
      <c r="X50" s="985">
        <v>0</v>
      </c>
    </row>
    <row s="13141" customFormat="1" customHeight="1" ht="11.25">
      <c r="A51" s="2619"/>
      <c r="B51" s="738"/>
      <c r="D51" s="892" t="s">
        <v>887</v>
      </c>
      <c r="E51" s="894" t="s">
        <v>888</v>
      </c>
      <c r="F51" s="887" t="s">
        <v>867</v>
      </c>
      <c r="G51" s="895"/>
      <c r="H51" s="1250"/>
      <c r="I51" s="895"/>
      <c r="J51" s="1250"/>
      <c r="K51" s="516"/>
      <c r="X51" s="985">
        <v>0</v>
      </c>
    </row>
    <row s="13141" customFormat="1" customHeight="1" ht="45">
      <c r="A52" s="2619"/>
      <c r="B52" s="738"/>
      <c r="D52" s="892" t="s">
        <v>111</v>
      </c>
      <c r="E52" s="893" t="s">
        <v>889</v>
      </c>
      <c r="F52" s="887" t="s">
        <v>867</v>
      </c>
      <c r="G52" s="895"/>
      <c r="H52" s="1250"/>
      <c r="I52" s="895"/>
      <c r="J52" s="1250"/>
      <c r="K52" s="516"/>
      <c r="X52" s="985">
        <v>0</v>
      </c>
    </row>
    <row s="13141" customFormat="1" customHeight="1" ht="11.25">
      <c r="A53" s="2619"/>
      <c r="B53" s="738"/>
      <c r="D53" s="892" t="s">
        <v>318</v>
      </c>
      <c r="E53" s="894" t="s">
        <v>878</v>
      </c>
      <c r="F53" s="887" t="s">
        <v>867</v>
      </c>
      <c r="G53" s="895"/>
      <c r="H53" s="1250"/>
      <c r="I53" s="895"/>
      <c r="J53" s="1250"/>
      <c r="K53" s="516"/>
      <c r="X53" s="985">
        <v>0</v>
      </c>
    </row>
    <row s="13141" customFormat="1" customHeight="1" ht="11.25">
      <c r="A54" s="2619"/>
      <c r="B54" s="738"/>
      <c r="D54" s="892" t="s">
        <v>890</v>
      </c>
      <c r="E54" s="894" t="s">
        <v>879</v>
      </c>
      <c r="F54" s="887" t="s">
        <v>867</v>
      </c>
      <c r="G54" s="895"/>
      <c r="H54" s="1250"/>
      <c r="I54" s="895"/>
      <c r="J54" s="1250"/>
      <c r="K54" s="516"/>
      <c r="X54" s="985">
        <v>0</v>
      </c>
    </row>
    <row s="13141" customFormat="1" customHeight="1" ht="11.25">
      <c r="A55" s="2619"/>
      <c r="B55" s="738"/>
      <c r="D55" s="892" t="s">
        <v>891</v>
      </c>
      <c r="E55" s="894" t="s">
        <v>880</v>
      </c>
      <c r="F55" s="887" t="s">
        <v>867</v>
      </c>
      <c r="G55" s="895"/>
      <c r="H55" s="1250"/>
      <c r="I55" s="895"/>
      <c r="J55" s="1250"/>
      <c r="K55" s="516"/>
      <c r="X55" s="985">
        <v>0</v>
      </c>
    </row>
    <row s="13141" customFormat="1" customHeight="1" ht="11.25">
      <c r="A56" s="2619"/>
      <c r="B56" s="738"/>
      <c r="D56" s="892" t="s">
        <v>892</v>
      </c>
      <c r="E56" s="898" t="s">
        <v>882</v>
      </c>
      <c r="F56" s="887" t="s">
        <v>867</v>
      </c>
      <c r="G56" s="895"/>
      <c r="H56" s="1250"/>
      <c r="I56" s="895"/>
      <c r="J56" s="1250"/>
      <c r="K56" s="516"/>
      <c r="X56" s="985">
        <v>0</v>
      </c>
    </row>
    <row s="13141" customFormat="1" customHeight="1" ht="11.25">
      <c r="A57" s="2619"/>
      <c r="B57" s="738"/>
      <c r="D57" s="892" t="s">
        <v>893</v>
      </c>
      <c r="E57" s="898" t="s">
        <v>884</v>
      </c>
      <c r="F57" s="887" t="s">
        <v>867</v>
      </c>
      <c r="G57" s="895"/>
      <c r="H57" s="1250"/>
      <c r="I57" s="895"/>
      <c r="J57" s="1250"/>
      <c r="K57" s="516"/>
      <c r="X57" s="985">
        <v>0</v>
      </c>
    </row>
    <row s="13141" customFormat="1" customHeight="1" ht="11.25">
      <c r="A58" s="2619"/>
      <c r="B58" s="738"/>
      <c r="D58" s="892" t="s">
        <v>894</v>
      </c>
      <c r="E58" s="894" t="s">
        <v>886</v>
      </c>
      <c r="F58" s="887" t="s">
        <v>867</v>
      </c>
      <c r="G58" s="895"/>
      <c r="H58" s="1250"/>
      <c r="I58" s="895"/>
      <c r="J58" s="1250"/>
      <c r="K58" s="516"/>
      <c r="X58" s="985">
        <v>0</v>
      </c>
    </row>
    <row s="13141" customFormat="1" customHeight="1" ht="11.25">
      <c r="A59" s="2619"/>
      <c r="B59" s="738"/>
      <c r="D59" s="892" t="s">
        <v>895</v>
      </c>
      <c r="E59" s="894" t="s">
        <v>888</v>
      </c>
      <c r="F59" s="887" t="s">
        <v>867</v>
      </c>
      <c r="G59" s="895"/>
      <c r="H59" s="1250"/>
      <c r="I59" s="895"/>
      <c r="J59" s="1250"/>
      <c r="K59" s="516"/>
      <c r="X59" s="985">
        <v>0</v>
      </c>
    </row>
    <row s="13141" customFormat="1" customHeight="1" ht="33.75">
      <c r="A60" s="2619"/>
      <c r="B60" s="738"/>
      <c r="D60" s="892" t="s">
        <v>92</v>
      </c>
      <c r="E60" s="893" t="s">
        <v>896</v>
      </c>
      <c r="F60" s="948" t="s">
        <v>567</v>
      </c>
      <c r="G60" s="969"/>
      <c r="H60" s="1250"/>
      <c r="I60" s="969"/>
      <c r="J60" s="1250"/>
      <c r="K60" s="529" t="s">
        <v>897</v>
      </c>
      <c r="X60" s="985">
        <v>0</v>
      </c>
    </row>
    <row s="13141" customFormat="1" customHeight="1" ht="33.75">
      <c r="A61" s="2619"/>
      <c r="B61" s="738"/>
      <c r="D61" s="892" t="s">
        <v>93</v>
      </c>
      <c r="E61" s="893" t="s">
        <v>898</v>
      </c>
      <c r="F61" s="953" t="s">
        <v>828</v>
      </c>
      <c r="G61" s="895"/>
      <c r="H61" s="1250"/>
      <c r="I61" s="895"/>
      <c r="J61" s="1250"/>
      <c r="K61" s="516"/>
      <c r="X61" s="985">
        <v>0</v>
      </c>
    </row>
    <row s="13141" customFormat="1" customHeight="1" ht="22.5">
      <c r="A62" s="2619"/>
      <c r="B62" s="738" t="s">
        <v>597</v>
      </c>
      <c r="D62" s="892" t="s">
        <v>112</v>
      </c>
      <c r="E62" s="893" t="s">
        <v>899</v>
      </c>
      <c r="F62" s="953" t="s">
        <v>311</v>
      </c>
      <c r="G62" s="609"/>
      <c r="H62" s="1250"/>
      <c r="I62" s="609"/>
      <c r="J62" s="1250"/>
      <c r="K62" s="516" t="s">
        <v>640</v>
      </c>
      <c r="X62" s="985">
        <v>0</v>
      </c>
    </row>
    <row s="13141" customFormat="1" customHeight="1" ht="45">
      <c r="A63" s="2619"/>
      <c r="B63" s="738" t="s">
        <v>597</v>
      </c>
      <c r="D63" s="892" t="s">
        <v>900</v>
      </c>
      <c r="E63" s="894" t="s">
        <v>901</v>
      </c>
      <c r="F63" s="948" t="s">
        <v>311</v>
      </c>
      <c r="G63" s="609"/>
      <c r="H63" s="1250"/>
      <c r="I63" s="609"/>
      <c r="J63" s="1250"/>
      <c r="K63" s="516" t="s">
        <v>640</v>
      </c>
      <c r="X63" s="985">
        <v>0</v>
      </c>
    </row>
    <row s="13141" customFormat="1" customHeight="1" ht="11.549999999999999">
      <c r="A64" s="1260"/>
      <c r="B64" s="745"/>
      <c r="D64" s="1261"/>
      <c r="E64" s="1262"/>
      <c r="X64" s="736">
        <v>11</v>
      </c>
    </row>
    <row s="13141" customFormat="1" customHeight="1" ht="22.5" hidden="1">
      <c r="A65" s="2619" t="s">
        <v>902</v>
      </c>
      <c r="B65" s="738"/>
      <c r="D65" s="892">
        <v>1</v>
      </c>
      <c r="E65" s="971" t="s">
        <v>903</v>
      </c>
      <c r="F65" s="967" t="s">
        <v>818</v>
      </c>
      <c r="G65" s="968"/>
      <c r="H65" s="1256"/>
      <c r="I65" s="968"/>
      <c r="J65" s="1256"/>
      <c r="K65" s="528" t="s">
        <v>904</v>
      </c>
      <c r="X65" s="985">
        <v>0</v>
      </c>
    </row>
    <row s="13141" customFormat="1" customHeight="1" ht="56.25" hidden="1">
      <c r="A66" s="2619"/>
      <c r="B66" s="738"/>
      <c r="D66" s="970" t="s">
        <v>110</v>
      </c>
      <c r="E66" s="934" t="s">
        <v>905</v>
      </c>
      <c r="F66" s="887" t="s">
        <v>555</v>
      </c>
      <c r="G66" s="887" t="s">
        <v>555</v>
      </c>
      <c r="H66" s="746"/>
      <c r="I66" s="887" t="s">
        <v>555</v>
      </c>
      <c r="J66" s="746"/>
      <c r="K66" s="516"/>
      <c r="X66" s="985">
        <v>0</v>
      </c>
    </row>
    <row s="13141" customFormat="1" customHeight="1" ht="33.75" hidden="1">
      <c r="A67" s="2619"/>
      <c r="B67" s="738"/>
      <c r="D67" s="970" t="s">
        <v>717</v>
      </c>
      <c r="E67" s="1181" t="s">
        <v>906</v>
      </c>
      <c r="F67" s="887" t="s">
        <v>870</v>
      </c>
      <c r="G67" s="954"/>
      <c r="H67" s="746"/>
      <c r="I67" s="954"/>
      <c r="J67" s="746"/>
      <c r="K67" s="516"/>
      <c r="X67" s="985">
        <v>0</v>
      </c>
    </row>
    <row s="13141" customFormat="1" customHeight="1" ht="22.5" hidden="1">
      <c r="A68" s="2619"/>
      <c r="B68" s="738"/>
      <c r="D68" s="970" t="s">
        <v>312</v>
      </c>
      <c r="E68" s="1181" t="s">
        <v>907</v>
      </c>
      <c r="F68" s="887" t="s">
        <v>870</v>
      </c>
      <c r="G68" s="954"/>
      <c r="H68" s="746"/>
      <c r="I68" s="954"/>
      <c r="J68" s="746"/>
      <c r="K68" s="516"/>
      <c r="X68" s="985">
        <v>0</v>
      </c>
    </row>
    <row s="13141" customFormat="1" customHeight="1" ht="22.5" hidden="1">
      <c r="A69" s="2619"/>
      <c r="B69" s="738"/>
      <c r="D69" s="970" t="s">
        <v>315</v>
      </c>
      <c r="E69" s="1181" t="s">
        <v>908</v>
      </c>
      <c r="F69" s="948" t="s">
        <v>567</v>
      </c>
      <c r="G69" s="969"/>
      <c r="H69" s="746"/>
      <c r="I69" s="969"/>
      <c r="J69" s="746"/>
      <c r="K69" s="516"/>
      <c r="X69" s="985">
        <v>0</v>
      </c>
    </row>
    <row s="13141" customFormat="1" customHeight="1" ht="22.5" hidden="1">
      <c r="A70" s="2619"/>
      <c r="B70" s="738"/>
      <c r="D70" s="970" t="s">
        <v>737</v>
      </c>
      <c r="E70" s="1181" t="s">
        <v>909</v>
      </c>
      <c r="F70" s="948" t="s">
        <v>567</v>
      </c>
      <c r="G70" s="969"/>
      <c r="H70" s="746"/>
      <c r="I70" s="969"/>
      <c r="J70" s="746"/>
      <c r="K70" s="516"/>
      <c r="X70" s="985">
        <v>0</v>
      </c>
    </row>
    <row s="13141" customFormat="1" customHeight="1" ht="22.5" hidden="1">
      <c r="A71" s="2619"/>
      <c r="B71" s="738"/>
      <c r="D71" s="892" t="s">
        <v>90</v>
      </c>
      <c r="E71" s="893" t="s">
        <v>910</v>
      </c>
      <c r="F71" s="887" t="s">
        <v>870</v>
      </c>
      <c r="G71" s="784"/>
      <c r="H71" s="1257"/>
      <c r="I71" s="784"/>
      <c r="J71" s="1257"/>
      <c r="K71" s="529"/>
      <c r="X71" s="985">
        <v>0</v>
      </c>
    </row>
    <row s="13141" customFormat="1" customHeight="1" ht="56.25" hidden="1">
      <c r="A72" s="2619"/>
      <c r="B72" s="738"/>
      <c r="D72" s="892" t="s">
        <v>91</v>
      </c>
      <c r="E72" s="893" t="s">
        <v>911</v>
      </c>
      <c r="F72" s="948" t="s">
        <v>567</v>
      </c>
      <c r="G72" s="969"/>
      <c r="H72" s="1250"/>
      <c r="I72" s="969"/>
      <c r="J72" s="1250"/>
      <c r="K72" s="529"/>
      <c r="X72" s="985">
        <v>0</v>
      </c>
    </row>
    <row s="13141" customFormat="1" customHeight="1" ht="33.75" hidden="1">
      <c r="A73" s="2619"/>
      <c r="B73" s="738"/>
      <c r="D73" s="892" t="s">
        <v>111</v>
      </c>
      <c r="E73" s="893" t="s">
        <v>912</v>
      </c>
      <c r="F73" s="953" t="s">
        <v>828</v>
      </c>
      <c r="G73" s="895"/>
      <c r="H73" s="1250"/>
      <c r="I73" s="895"/>
      <c r="J73" s="1250"/>
      <c r="K73" s="516"/>
      <c r="X73" s="985">
        <v>0</v>
      </c>
    </row>
    <row s="13141" customFormat="1" customHeight="1" ht="22.5" hidden="1">
      <c r="A74" s="2619"/>
      <c r="B74" s="738" t="s">
        <v>597</v>
      </c>
      <c r="D74" s="892" t="s">
        <v>92</v>
      </c>
      <c r="E74" s="893" t="s">
        <v>913</v>
      </c>
      <c r="F74" s="953" t="s">
        <v>311</v>
      </c>
      <c r="G74" s="609"/>
      <c r="H74" s="1250"/>
      <c r="I74" s="609"/>
      <c r="J74" s="1250"/>
      <c r="K74" s="516" t="s">
        <v>640</v>
      </c>
      <c r="X74" s="985">
        <v>0</v>
      </c>
    </row>
    <row s="13141" customFormat="1" customHeight="1" ht="45" hidden="1">
      <c r="A75" s="2619"/>
      <c r="B75" s="738" t="s">
        <v>597</v>
      </c>
      <c r="D75" s="892" t="s">
        <v>661</v>
      </c>
      <c r="E75" s="894" t="s">
        <v>914</v>
      </c>
      <c r="F75" s="948" t="s">
        <v>311</v>
      </c>
      <c r="G75" s="609"/>
      <c r="H75" s="1250"/>
      <c r="I75" s="609"/>
      <c r="J75" s="1250"/>
      <c r="K75" s="516" t="s">
        <v>640</v>
      </c>
      <c r="X75" s="985">
        <v>0</v>
      </c>
    </row>
    <row s="13141" customFormat="1" customHeight="1" ht="11.549999999999999">
      <c r="A76" s="1260"/>
      <c r="B76" s="745"/>
      <c r="D76" s="1261"/>
      <c r="E76" s="1262"/>
      <c r="X76" s="736">
        <v>11</v>
      </c>
    </row>
    <row s="13141" customFormat="1" customHeight="1" ht="11.25" hidden="1">
      <c r="A77" s="2619" t="s">
        <v>915</v>
      </c>
      <c r="B77" s="738"/>
      <c r="D77" s="892">
        <v>1</v>
      </c>
      <c r="E77" s="893" t="s">
        <v>916</v>
      </c>
      <c r="F77" s="948" t="s">
        <v>818</v>
      </c>
      <c r="G77" s="951"/>
      <c r="H77" s="1250"/>
      <c r="I77" s="951"/>
      <c r="J77" s="1250"/>
      <c r="K77" s="516" t="s">
        <v>917</v>
      </c>
      <c r="X77" s="985">
        <v>0</v>
      </c>
    </row>
    <row s="13141" customFormat="1" customHeight="1" ht="11.25" hidden="1">
      <c r="A78" s="2619"/>
      <c r="B78" s="738"/>
      <c r="D78" s="892" t="s">
        <v>110</v>
      </c>
      <c r="E78" s="893" t="s">
        <v>918</v>
      </c>
      <c r="F78" s="948" t="s">
        <v>818</v>
      </c>
      <c r="G78" s="951"/>
      <c r="H78" s="1250"/>
      <c r="I78" s="951"/>
      <c r="J78" s="1250"/>
      <c r="K78" s="516" t="s">
        <v>919</v>
      </c>
      <c r="X78" s="985">
        <v>0</v>
      </c>
    </row>
    <row s="13141" customFormat="1" customHeight="1" ht="22.5" hidden="1">
      <c r="A79" s="2619"/>
      <c r="B79" s="738"/>
      <c r="D79" s="892" t="s">
        <v>90</v>
      </c>
      <c r="E79" s="949" t="s">
        <v>920</v>
      </c>
      <c r="F79" s="887" t="s">
        <v>867</v>
      </c>
      <c r="G79" s="951"/>
      <c r="H79" s="1250"/>
      <c r="I79" s="951"/>
      <c r="J79" s="1250"/>
      <c r="K79" s="516" t="s">
        <v>921</v>
      </c>
      <c r="X79" s="985">
        <v>0</v>
      </c>
    </row>
    <row s="13141" customFormat="1" customHeight="1" ht="11.25" hidden="1">
      <c r="A80" s="2619"/>
      <c r="B80" s="738"/>
      <c r="D80" s="892" t="s">
        <v>329</v>
      </c>
      <c r="E80" s="950" t="s">
        <v>922</v>
      </c>
      <c r="F80" s="887" t="s">
        <v>867</v>
      </c>
      <c r="G80" s="951"/>
      <c r="H80" s="1250"/>
      <c r="I80" s="951"/>
      <c r="J80" s="1250"/>
      <c r="K80" s="516"/>
      <c r="X80" s="985">
        <v>0</v>
      </c>
    </row>
    <row s="13141" customFormat="1" customHeight="1" ht="11.25" hidden="1">
      <c r="A81" s="2619"/>
      <c r="B81" s="738"/>
      <c r="D81" s="892" t="s">
        <v>337</v>
      </c>
      <c r="E81" s="950" t="s">
        <v>923</v>
      </c>
      <c r="F81" s="887" t="s">
        <v>867</v>
      </c>
      <c r="G81" s="951"/>
      <c r="H81" s="1250"/>
      <c r="I81" s="951"/>
      <c r="J81" s="1250"/>
      <c r="K81" s="516"/>
      <c r="X81" s="985">
        <v>0</v>
      </c>
    </row>
    <row s="13141" customFormat="1" customHeight="1" ht="11.25" hidden="1">
      <c r="A82" s="2619"/>
      <c r="B82" s="738"/>
      <c r="D82" s="892" t="s">
        <v>339</v>
      </c>
      <c r="E82" s="950" t="s">
        <v>924</v>
      </c>
      <c r="F82" s="887" t="s">
        <v>867</v>
      </c>
      <c r="G82" s="951"/>
      <c r="H82" s="1250"/>
      <c r="I82" s="951"/>
      <c r="J82" s="1250"/>
      <c r="K82" s="516"/>
      <c r="X82" s="985">
        <v>0</v>
      </c>
    </row>
    <row s="13141" customFormat="1" customHeight="1" ht="11.25" hidden="1">
      <c r="A83" s="2619"/>
      <c r="B83" s="738"/>
      <c r="D83" s="892" t="s">
        <v>341</v>
      </c>
      <c r="E83" s="950" t="s">
        <v>925</v>
      </c>
      <c r="F83" s="887" t="s">
        <v>867</v>
      </c>
      <c r="G83" s="951"/>
      <c r="H83" s="1250"/>
      <c r="I83" s="951"/>
      <c r="J83" s="1250"/>
      <c r="K83" s="516"/>
      <c r="X83" s="985">
        <v>0</v>
      </c>
    </row>
    <row s="13141" customFormat="1" customHeight="1" ht="11.25" hidden="1">
      <c r="A84" s="2619"/>
      <c r="B84" s="738"/>
      <c r="D84" s="892" t="s">
        <v>926</v>
      </c>
      <c r="E84" s="950" t="s">
        <v>927</v>
      </c>
      <c r="F84" s="887" t="s">
        <v>867</v>
      </c>
      <c r="G84" s="951"/>
      <c r="H84" s="1250"/>
      <c r="I84" s="951"/>
      <c r="J84" s="1250"/>
      <c r="K84" s="516"/>
      <c r="X84" s="985">
        <v>0</v>
      </c>
    </row>
    <row s="13141" customFormat="1" customHeight="1" ht="11.25" hidden="1">
      <c r="A85" s="2619"/>
      <c r="B85" s="738"/>
      <c r="D85" s="892" t="s">
        <v>928</v>
      </c>
      <c r="E85" s="950" t="s">
        <v>929</v>
      </c>
      <c r="F85" s="887" t="s">
        <v>867</v>
      </c>
      <c r="G85" s="951"/>
      <c r="H85" s="1250"/>
      <c r="I85" s="951"/>
      <c r="J85" s="1250"/>
      <c r="K85" s="516"/>
      <c r="X85" s="985">
        <v>0</v>
      </c>
    </row>
    <row s="13141" customFormat="1" customHeight="1" ht="11.25" hidden="1">
      <c r="A86" s="2619"/>
      <c r="B86" s="738"/>
      <c r="D86" s="892" t="s">
        <v>930</v>
      </c>
      <c r="E86" s="950" t="s">
        <v>931</v>
      </c>
      <c r="F86" s="887" t="s">
        <v>867</v>
      </c>
      <c r="G86" s="951"/>
      <c r="H86" s="1250"/>
      <c r="I86" s="951"/>
      <c r="J86" s="1250"/>
      <c r="K86" s="516"/>
      <c r="X86" s="985">
        <v>0</v>
      </c>
    </row>
    <row s="13141" customFormat="1" customHeight="1" ht="45" hidden="1">
      <c r="A87" s="2619"/>
      <c r="B87" s="738"/>
      <c r="D87" s="892" t="s">
        <v>91</v>
      </c>
      <c r="E87" s="893" t="s">
        <v>932</v>
      </c>
      <c r="F87" s="887" t="s">
        <v>867</v>
      </c>
      <c r="G87" s="951"/>
      <c r="H87" s="1250"/>
      <c r="I87" s="951"/>
      <c r="J87" s="1250"/>
      <c r="K87" s="516" t="s">
        <v>933</v>
      </c>
      <c r="X87" s="985">
        <v>0</v>
      </c>
    </row>
    <row s="13141" customFormat="1" customHeight="1" ht="11.25" hidden="1">
      <c r="A88" s="2619"/>
      <c r="B88" s="738"/>
      <c r="D88" s="892" t="s">
        <v>762</v>
      </c>
      <c r="E88" s="950" t="s">
        <v>922</v>
      </c>
      <c r="F88" s="887" t="s">
        <v>867</v>
      </c>
      <c r="G88" s="951"/>
      <c r="H88" s="1250"/>
      <c r="I88" s="951"/>
      <c r="J88" s="1250"/>
      <c r="K88" s="516"/>
      <c r="X88" s="985">
        <v>0</v>
      </c>
    </row>
    <row s="13141" customFormat="1" customHeight="1" ht="11.25" hidden="1">
      <c r="A89" s="2619"/>
      <c r="B89" s="738"/>
      <c r="D89" s="892" t="s">
        <v>804</v>
      </c>
      <c r="E89" s="950" t="s">
        <v>923</v>
      </c>
      <c r="F89" s="887" t="s">
        <v>867</v>
      </c>
      <c r="G89" s="951"/>
      <c r="H89" s="1250"/>
      <c r="I89" s="951"/>
      <c r="J89" s="1250"/>
      <c r="K89" s="516"/>
      <c r="X89" s="985">
        <v>0</v>
      </c>
    </row>
    <row s="13141" customFormat="1" customHeight="1" ht="11.25" hidden="1">
      <c r="A90" s="2619"/>
      <c r="B90" s="738"/>
      <c r="D90" s="892" t="s">
        <v>807</v>
      </c>
      <c r="E90" s="950" t="s">
        <v>924</v>
      </c>
      <c r="F90" s="887" t="s">
        <v>867</v>
      </c>
      <c r="G90" s="951"/>
      <c r="H90" s="1250"/>
      <c r="I90" s="951"/>
      <c r="J90" s="1250"/>
      <c r="K90" s="516"/>
      <c r="X90" s="985">
        <v>0</v>
      </c>
    </row>
    <row s="13141" customFormat="1" customHeight="1" ht="11.25" hidden="1">
      <c r="A91" s="2619"/>
      <c r="B91" s="738"/>
      <c r="D91" s="892" t="s">
        <v>885</v>
      </c>
      <c r="E91" s="950" t="s">
        <v>925</v>
      </c>
      <c r="F91" s="887" t="s">
        <v>867</v>
      </c>
      <c r="G91" s="951"/>
      <c r="H91" s="1250"/>
      <c r="I91" s="951"/>
      <c r="J91" s="1250"/>
      <c r="K91" s="516"/>
      <c r="X91" s="985">
        <v>0</v>
      </c>
    </row>
    <row s="13141" customFormat="1" customHeight="1" ht="11.25" hidden="1">
      <c r="A92" s="2619"/>
      <c r="B92" s="738"/>
      <c r="D92" s="892" t="s">
        <v>887</v>
      </c>
      <c r="E92" s="950" t="s">
        <v>927</v>
      </c>
      <c r="F92" s="887" t="s">
        <v>867</v>
      </c>
      <c r="G92" s="951"/>
      <c r="H92" s="1250"/>
      <c r="I92" s="951"/>
      <c r="J92" s="1250"/>
      <c r="K92" s="516"/>
      <c r="X92" s="985">
        <v>0</v>
      </c>
    </row>
    <row s="13141" customFormat="1" customHeight="1" ht="11.25" hidden="1">
      <c r="A93" s="2619"/>
      <c r="B93" s="738"/>
      <c r="D93" s="892" t="s">
        <v>934</v>
      </c>
      <c r="E93" s="950" t="s">
        <v>929</v>
      </c>
      <c r="F93" s="887" t="s">
        <v>867</v>
      </c>
      <c r="G93" s="951"/>
      <c r="H93" s="1250"/>
      <c r="I93" s="951"/>
      <c r="J93" s="1250"/>
      <c r="K93" s="516"/>
      <c r="X93" s="985">
        <v>0</v>
      </c>
    </row>
    <row s="13141" customFormat="1" customHeight="1" ht="11.25" hidden="1">
      <c r="A94" s="2619"/>
      <c r="B94" s="738"/>
      <c r="D94" s="892" t="s">
        <v>935</v>
      </c>
      <c r="E94" s="950" t="s">
        <v>931</v>
      </c>
      <c r="F94" s="887" t="s">
        <v>867</v>
      </c>
      <c r="G94" s="951"/>
      <c r="H94" s="1250"/>
      <c r="I94" s="951"/>
      <c r="J94" s="1250"/>
      <c r="K94" s="516"/>
      <c r="X94" s="985">
        <v>0</v>
      </c>
    </row>
    <row s="13141" customFormat="1" customHeight="1" ht="24.75" hidden="1">
      <c r="A95" s="2619"/>
      <c r="B95" s="738"/>
      <c r="D95" s="892" t="s">
        <v>111</v>
      </c>
      <c r="E95" s="893" t="s">
        <v>936</v>
      </c>
      <c r="F95" s="952" t="s">
        <v>567</v>
      </c>
      <c r="G95" s="954"/>
      <c r="H95" s="1250"/>
      <c r="I95" s="954"/>
      <c r="J95" s="1250"/>
      <c r="K95" s="516" t="s">
        <v>937</v>
      </c>
      <c r="X95" s="985">
        <v>0</v>
      </c>
    </row>
    <row s="13141" customFormat="1" customHeight="1" ht="33.75" hidden="1">
      <c r="A96" s="2619"/>
      <c r="B96" s="738"/>
      <c r="D96" s="892" t="s">
        <v>92</v>
      </c>
      <c r="E96" s="893" t="s">
        <v>938</v>
      </c>
      <c r="F96" s="953" t="s">
        <v>828</v>
      </c>
      <c r="G96" s="955"/>
      <c r="H96" s="1250"/>
      <c r="I96" s="955"/>
      <c r="J96" s="1250"/>
      <c r="K96" s="516"/>
      <c r="X96" s="985">
        <v>0</v>
      </c>
    </row>
    <row s="13141" customFormat="1" customHeight="1" ht="22.5" hidden="1">
      <c r="A97" s="2619"/>
      <c r="B97" s="738" t="s">
        <v>597</v>
      </c>
      <c r="D97" s="892" t="s">
        <v>93</v>
      </c>
      <c r="E97" s="893" t="s">
        <v>939</v>
      </c>
      <c r="F97" s="953" t="s">
        <v>311</v>
      </c>
      <c r="G97" s="612"/>
      <c r="H97" s="1250"/>
      <c r="I97" s="612"/>
      <c r="J97" s="1250"/>
      <c r="K97" s="516" t="s">
        <v>640</v>
      </c>
      <c r="X97" s="985">
        <v>0</v>
      </c>
    </row>
    <row s="13141" customFormat="1" customHeight="1" ht="45" hidden="1">
      <c r="A98" s="2619"/>
      <c r="B98" s="738" t="s">
        <v>597</v>
      </c>
      <c r="D98" s="892" t="s">
        <v>940</v>
      </c>
      <c r="E98" s="894" t="s">
        <v>941</v>
      </c>
      <c r="F98" s="948" t="s">
        <v>311</v>
      </c>
      <c r="G98" s="612"/>
      <c r="H98" s="1250"/>
      <c r="I98" s="612"/>
      <c r="J98" s="1250"/>
      <c r="K98" s="516" t="s">
        <v>640</v>
      </c>
      <c r="X98" s="985">
        <v>0</v>
      </c>
    </row>
    <row s="13141" customFormat="1" customHeight="1" ht="95.25" hidden="1">
      <c r="A99" s="2619"/>
      <c r="B99" s="738" t="s">
        <v>597</v>
      </c>
      <c r="D99" s="892" t="s">
        <v>112</v>
      </c>
      <c r="E99" s="893" t="s">
        <v>942</v>
      </c>
      <c r="F99" s="948" t="s">
        <v>311</v>
      </c>
      <c r="G99" s="612"/>
      <c r="H99" s="1250"/>
      <c r="I99" s="612"/>
      <c r="J99" s="1250"/>
      <c r="K99" s="516" t="s">
        <v>640</v>
      </c>
      <c r="X99" s="985">
        <v>0</v>
      </c>
    </row>
    <row s="13141" customFormat="1" customHeight="1" ht="22.5" hidden="1">
      <c r="A100" s="2619"/>
      <c r="B100" s="738" t="s">
        <v>597</v>
      </c>
      <c r="D100" s="892" t="s">
        <v>148</v>
      </c>
      <c r="E100" s="893" t="s">
        <v>943</v>
      </c>
      <c r="F100" s="948" t="s">
        <v>311</v>
      </c>
      <c r="G100" s="612"/>
      <c r="H100" s="1250"/>
      <c r="I100" s="612"/>
      <c r="J100" s="1250"/>
      <c r="K100" s="516" t="s">
        <v>640</v>
      </c>
      <c r="X100" s="985">
        <v>0</v>
      </c>
    </row>
    <row s="13141"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42CC1-2597-74E9-27E5-50A8871F18C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105" width="9.140625" hidden="1" customWidth="1"/>
    <col min="2" max="2" style="13141" width="9.140625" hidden="1" customWidth="1"/>
    <col min="3" max="3" style="15543" width="4.00390625" customWidth="1"/>
    <col min="4" max="4" style="13141" width="6.00390625" customWidth="1"/>
    <col min="5" max="5" style="13141" width="36.00390625" customWidth="1"/>
    <col min="6" max="6" style="13141" width="9.00390625" customWidth="1"/>
    <col min="7" max="7" style="13141" width="25.7109375" hidden="1" customWidth="1"/>
    <col min="8" max="8" style="13141" width="33.7109375" hidden="1" customWidth="1"/>
    <col min="9" max="9" style="13141" width="25.7109375" customWidth="1"/>
    <col min="10" max="10" style="13141" width="33.00390625" customWidth="1"/>
    <col min="11" max="11" style="13221" width="93.00390625" customWidth="1"/>
    <col min="12" max="20" style="13141" width="10.00390625" customWidth="1"/>
    <col min="21" max="21" style="15544" width="10.00390625" customWidth="1"/>
    <col min="22" max="22" style="13141" width="10.57421875" hidden="1"/>
  </cols>
  <sheetData>
    <row s="13221" customFormat="1" customHeight="1" ht="22.5" hidden="1">
      <c r="C1" s="899"/>
      <c r="G1" s="644">
        <v>4</v>
      </c>
      <c r="I1" s="644">
        <v>4</v>
      </c>
      <c r="U1" s="647"/>
      <c r="V1" s="644" t="s">
        <v>14</v>
      </c>
    </row>
    <row s="13221" customFormat="1" customHeight="1" ht="15" hidden="1">
      <c r="C2" s="899"/>
      <c r="U2" s="647"/>
      <c r="V2" s="644">
        <v>0</v>
      </c>
    </row>
    <row customHeight="1" ht="22.5" hidden="1">
      <c r="A3" s="732"/>
      <c r="B3" s="2624"/>
      <c r="C3" s="2625" t="s">
        <v>491</v>
      </c>
      <c r="D3" s="916" t="str">
        <f>B3&amp;".1"</f>
        <v>.1</v>
      </c>
      <c r="E3" s="917" t="s">
        <v>944</v>
      </c>
      <c r="F3" s="918" t="s">
        <v>311</v>
      </c>
      <c r="G3" s="913"/>
      <c r="H3" s="628"/>
      <c r="I3" s="913"/>
      <c r="J3" s="628"/>
      <c r="K3" s="516" t="s">
        <v>945</v>
      </c>
      <c r="V3" s="732">
        <v>0</v>
      </c>
    </row>
    <row customHeight="1" ht="15" hidden="1">
      <c r="A4" s="732"/>
      <c r="B4" s="2624"/>
      <c r="C4" s="2625"/>
      <c r="D4" s="916" t="str">
        <f>B3&amp;".2"</f>
        <v>.2</v>
      </c>
      <c r="E4" s="917" t="s">
        <v>946</v>
      </c>
      <c r="F4" s="918" t="s">
        <v>311</v>
      </c>
      <c r="G4" s="1965" t="s">
        <v>28</v>
      </c>
      <c r="H4" s="628"/>
      <c r="I4" s="1965" t="s">
        <v>28</v>
      </c>
      <c r="J4" s="628"/>
      <c r="K4" s="516" t="s">
        <v>947</v>
      </c>
      <c r="V4" s="732">
        <v>0</v>
      </c>
    </row>
    <row s="13221" customFormat="1" customHeight="1" ht="15" hidden="1">
      <c r="C5" s="899"/>
      <c r="U5" s="647"/>
      <c r="V5" s="644">
        <v>0</v>
      </c>
    </row>
    <row customHeight="1" ht="22.5" hidden="1">
      <c r="A6" s="732"/>
      <c r="B6" s="2624"/>
      <c r="C6" s="2625" t="s">
        <v>491</v>
      </c>
      <c r="D6" s="916" t="str">
        <f>B6&amp;".1"</f>
        <v>.1</v>
      </c>
      <c r="E6" s="917" t="s">
        <v>948</v>
      </c>
      <c r="F6" s="918" t="s">
        <v>311</v>
      </c>
      <c r="G6" s="913"/>
      <c r="H6" s="628"/>
      <c r="I6" s="913"/>
      <c r="J6" s="628"/>
      <c r="K6" s="516" t="s">
        <v>949</v>
      </c>
      <c r="V6" s="732">
        <v>0</v>
      </c>
    </row>
    <row customHeight="1" ht="15" hidden="1">
      <c r="A7" s="732"/>
      <c r="B7" s="2624"/>
      <c r="C7" s="2625"/>
      <c r="D7" s="916" t="str">
        <f>B6&amp;".2"</f>
        <v>.2</v>
      </c>
      <c r="E7" s="917" t="s">
        <v>946</v>
      </c>
      <c r="F7" s="918" t="s">
        <v>311</v>
      </c>
      <c r="G7" s="1965" t="s">
        <v>28</v>
      </c>
      <c r="H7" s="628"/>
      <c r="I7" s="1965" t="s">
        <v>28</v>
      </c>
      <c r="J7" s="628"/>
      <c r="K7" s="516" t="s">
        <v>947</v>
      </c>
      <c r="V7" s="732">
        <v>0</v>
      </c>
    </row>
    <row s="13221" customFormat="1" customHeight="1" ht="15" hidden="1">
      <c r="C8" s="899"/>
      <c r="U8" s="647"/>
      <c r="V8" s="644">
        <v>0</v>
      </c>
    </row>
    <row customHeight="1" ht="22.5" hidden="1">
      <c r="A9" s="732"/>
      <c r="B9" s="2624"/>
      <c r="C9" s="2625" t="s">
        <v>491</v>
      </c>
      <c r="D9" s="916" t="str">
        <f>B9&amp;".1"</f>
        <v>.1</v>
      </c>
      <c r="E9" s="917" t="s">
        <v>950</v>
      </c>
      <c r="F9" s="918" t="s">
        <v>311</v>
      </c>
      <c r="G9" s="924" t="s">
        <v>28</v>
      </c>
      <c r="H9" s="628" t="s">
        <v>28</v>
      </c>
      <c r="I9" s="924" t="s">
        <v>28</v>
      </c>
      <c r="J9" s="628" t="s">
        <v>28</v>
      </c>
      <c r="K9" s="516"/>
      <c r="V9" s="732">
        <v>0</v>
      </c>
    </row>
    <row customHeight="1" ht="15" hidden="1">
      <c r="A10" s="732"/>
      <c r="B10" s="2624"/>
      <c r="C10" s="2625"/>
      <c r="D10" s="916" t="str">
        <f>B9&amp;".2"</f>
        <v>.2</v>
      </c>
      <c r="E10" s="917" t="s">
        <v>951</v>
      </c>
      <c r="F10" s="918" t="s">
        <v>311</v>
      </c>
      <c r="G10" s="1959" t="s">
        <v>28</v>
      </c>
      <c r="H10" s="628" t="s">
        <v>28</v>
      </c>
      <c r="I10" s="1959" t="s">
        <v>28</v>
      </c>
      <c r="J10" s="628" t="s">
        <v>28</v>
      </c>
      <c r="K10" s="516" t="s">
        <v>952</v>
      </c>
      <c r="V10" s="732">
        <v>0</v>
      </c>
    </row>
    <row customHeight="1" ht="15" hidden="1">
      <c r="A11" s="732"/>
      <c r="B11" s="2624"/>
      <c r="C11" s="2625"/>
      <c r="D11" s="916" t="str">
        <f>B9&amp;".3"</f>
        <v>.3</v>
      </c>
      <c r="E11" s="917" t="s">
        <v>953</v>
      </c>
      <c r="F11" s="918" t="s">
        <v>311</v>
      </c>
      <c r="G11" s="1959" t="s">
        <v>28</v>
      </c>
      <c r="H11" s="628" t="s">
        <v>28</v>
      </c>
      <c r="I11" s="1959" t="s">
        <v>28</v>
      </c>
      <c r="J11" s="628" t="s">
        <v>28</v>
      </c>
      <c r="K11" s="516" t="s">
        <v>954</v>
      </c>
      <c r="V11" s="732">
        <v>0</v>
      </c>
    </row>
    <row s="13221" customFormat="1" customHeight="1" ht="15" hidden="1">
      <c r="C12" s="899"/>
      <c r="U12" s="647"/>
      <c r="V12" s="644">
        <v>0</v>
      </c>
    </row>
    <row customHeight="1" ht="33.75" hidden="1">
      <c r="A13" s="732"/>
      <c r="B13" s="2624"/>
      <c r="C13" s="2625" t="s">
        <v>491</v>
      </c>
      <c r="D13" s="916" t="str">
        <f>B13&amp;".1"</f>
        <v>.1</v>
      </c>
      <c r="E13" s="917" t="s">
        <v>955</v>
      </c>
      <c r="F13" s="918" t="s">
        <v>311</v>
      </c>
      <c r="G13" s="924" t="s">
        <v>28</v>
      </c>
      <c r="H13" s="628" t="s">
        <v>28</v>
      </c>
      <c r="I13" s="924" t="s">
        <v>28</v>
      </c>
      <c r="J13" s="628" t="s">
        <v>28</v>
      </c>
      <c r="K13" s="516" t="s">
        <v>956</v>
      </c>
      <c r="V13" s="732">
        <v>0</v>
      </c>
    </row>
    <row customHeight="1" ht="15" hidden="1">
      <c r="B14" s="2624"/>
      <c r="C14" s="2625"/>
      <c r="D14" s="916" t="str">
        <f>B13&amp;".2"</f>
        <v>.2</v>
      </c>
      <c r="E14" s="917" t="s">
        <v>957</v>
      </c>
      <c r="F14" s="918" t="s">
        <v>311</v>
      </c>
      <c r="G14" s="1959" t="s">
        <v>28</v>
      </c>
      <c r="H14" s="628" t="s">
        <v>28</v>
      </c>
      <c r="I14" s="1959" t="s">
        <v>28</v>
      </c>
      <c r="J14" s="628" t="s">
        <v>28</v>
      </c>
      <c r="K14" s="516" t="s">
        <v>958</v>
      </c>
      <c r="V14" s="732">
        <v>0</v>
      </c>
    </row>
    <row s="13221" customFormat="1" customHeight="1" ht="15" hidden="1">
      <c r="C15" s="899"/>
      <c r="U15" s="647"/>
      <c r="V15" s="644">
        <v>0</v>
      </c>
    </row>
    <row s="13221" customFormat="1" customHeight="1" ht="15" hidden="1">
      <c r="C16" s="899"/>
      <c r="U16" s="647"/>
      <c r="V16" s="644">
        <v>0</v>
      </c>
    </row>
    <row s="13221" customFormat="1" customHeight="1" ht="15" hidden="1">
      <c r="C17" s="899"/>
      <c r="U17" s="647"/>
      <c r="V17" s="644">
        <v>0</v>
      </c>
    </row>
    <row s="13221" customFormat="1" customHeight="1" ht="15" hidden="1">
      <c r="C18" s="899"/>
      <c r="U18" s="647"/>
      <c r="V18" s="644">
        <v>0</v>
      </c>
    </row>
    <row s="13221" customFormat="1" customHeight="1" ht="15" hidden="1">
      <c r="C19" s="899"/>
      <c r="U19" s="647"/>
      <c r="V19" s="644">
        <v>0</v>
      </c>
    </row>
    <row s="13221"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МУП "Уссурийск-Водоканал"</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3141" customFormat="1" customHeight="1" ht="1.05">
      <c r="A25" s="986"/>
      <c r="C25" s="403"/>
      <c r="D25" s="736"/>
      <c r="E25" s="736"/>
      <c r="F25" s="736"/>
      <c r="G25" s="764"/>
      <c r="H25" s="979"/>
      <c r="I25" s="764" t="s">
        <v>117</v>
      </c>
      <c r="J25" s="979"/>
      <c r="K25" s="644"/>
      <c r="U25" s="902"/>
      <c r="V25" s="985">
        <v>1</v>
      </c>
    </row>
    <row customHeight="1" ht="15.75">
      <c r="C26" s="403"/>
      <c r="D26" s="938"/>
      <c r="E26" s="2594" t="s">
        <v>105</v>
      </c>
      <c r="F26" s="2595"/>
      <c r="G26" s="2622" t="str">
        <f>IF(G25="","",INDEX(DIFFERENTIATION_UNMERGE_VD,MATCH(G25,DIFFERENTIATION_ID_DIFF,0)))</f>
        <v/>
      </c>
      <c r="H26" s="2623"/>
      <c r="I26" s="2622">
        <f>IF(I25="","",INDEX(DIFFERENTIATION_UNMERGE_VD,MATCH(I25,DIFFERENTIATION_ID_DIFF,0)))</f>
        <v>0</v>
      </c>
      <c r="J26" s="2623"/>
      <c r="K26" s="2402" t="s">
        <v>306</v>
      </c>
      <c r="V26" s="732">
        <v>15</v>
      </c>
    </row>
    <row s="13141" customFormat="1" customHeight="1" ht="15.75">
      <c r="A27" s="986"/>
      <c r="C27" s="403"/>
      <c r="D27" s="938"/>
      <c r="E27" s="2594" t="s">
        <v>573</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3141" customFormat="1" customHeight="1" ht="15.75">
      <c r="A28" s="986"/>
      <c r="C28" s="403"/>
      <c r="D28" s="938"/>
      <c r="E28" s="2594" t="s">
        <v>574</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3141" customFormat="1" customHeight="1" ht="15.75">
      <c r="A29" s="986"/>
      <c r="C29" s="403"/>
      <c r="D29" s="2596" t="s">
        <v>305</v>
      </c>
      <c r="E29" s="2597"/>
      <c r="F29" s="2597"/>
      <c r="G29" s="1114"/>
      <c r="H29" s="1114"/>
      <c r="I29" s="1114"/>
      <c r="J29" s="1115"/>
      <c r="K29" s="2422"/>
      <c r="U29" s="902"/>
      <c r="V29" s="985">
        <v>15</v>
      </c>
    </row>
    <row customHeight="1" ht="35.699999999999996">
      <c r="C30" s="403"/>
      <c r="D30" s="988" t="s">
        <v>88</v>
      </c>
      <c r="E30" s="987" t="s">
        <v>307</v>
      </c>
      <c r="F30" s="987" t="s">
        <v>575</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959</v>
      </c>
      <c r="C32" s="753"/>
      <c r="D32" s="919">
        <v>1</v>
      </c>
      <c r="E32" s="920" t="s">
        <v>960</v>
      </c>
      <c r="F32" s="918" t="s">
        <v>311</v>
      </c>
      <c r="G32" s="1040" t="s">
        <v>311</v>
      </c>
      <c r="H32" s="1040" t="s">
        <v>311</v>
      </c>
      <c r="I32" s="918" t="s">
        <v>311</v>
      </c>
      <c r="J32" s="918" t="s">
        <v>311</v>
      </c>
      <c r="K32" s="516"/>
      <c r="V32" s="732">
        <v>23</v>
      </c>
    </row>
    <row customHeight="1" ht="11.549999999999999">
      <c r="A33" s="732"/>
      <c r="C33" s="732"/>
      <c r="D33" s="574"/>
      <c r="E33" s="807" t="s">
        <v>595</v>
      </c>
      <c r="F33" s="799"/>
      <c r="G33" s="799"/>
      <c r="H33" s="799"/>
      <c r="I33" s="799"/>
      <c r="J33" s="799"/>
      <c r="K33" s="800"/>
      <c r="U33" s="732"/>
      <c r="V33" s="732">
        <v>11</v>
      </c>
    </row>
    <row customHeight="1" ht="24">
      <c r="A34" s="732"/>
      <c r="B34" s="808" t="s">
        <v>645</v>
      </c>
      <c r="C34" s="753"/>
      <c r="D34" s="919">
        <v>2</v>
      </c>
      <c r="E34" s="920" t="s">
        <v>961</v>
      </c>
      <c r="F34" s="1047" t="s">
        <v>311</v>
      </c>
      <c r="G34" s="1047" t="s">
        <v>311</v>
      </c>
      <c r="H34" s="1047" t="s">
        <v>311</v>
      </c>
      <c r="I34" s="918"/>
      <c r="J34" s="918"/>
      <c r="K34" s="516"/>
      <c r="V34" s="732">
        <v>23</v>
      </c>
    </row>
    <row customHeight="1" ht="11.549999999999999">
      <c r="A35" s="732"/>
      <c r="C35" s="732"/>
      <c r="D35" s="574"/>
      <c r="E35" s="807" t="s">
        <v>962</v>
      </c>
      <c r="F35" s="799"/>
      <c r="G35" s="921"/>
      <c r="H35" s="799"/>
      <c r="I35" s="921"/>
      <c r="J35" s="799"/>
      <c r="K35" s="800"/>
      <c r="U35" s="732"/>
      <c r="V35" s="732">
        <v>11</v>
      </c>
    </row>
    <row customHeight="1" ht="71.25">
      <c r="A36" s="732"/>
      <c r="B36" s="732" t="s">
        <v>963</v>
      </c>
      <c r="C36" s="753"/>
      <c r="D36" s="919">
        <v>3</v>
      </c>
      <c r="E36" s="920" t="s">
        <v>964</v>
      </c>
      <c r="F36" s="922" t="s">
        <v>311</v>
      </c>
      <c r="G36" s="1041" t="s">
        <v>965</v>
      </c>
      <c r="H36" s="1040" t="s">
        <v>311</v>
      </c>
      <c r="I36" s="751" t="s">
        <v>965</v>
      </c>
      <c r="J36" s="918" t="s">
        <v>311</v>
      </c>
      <c r="K36" s="516" t="s">
        <v>966</v>
      </c>
      <c r="V36" s="732">
        <v>68</v>
      </c>
    </row>
    <row customHeight="1" ht="11.549999999999999">
      <c r="A37" s="732"/>
      <c r="C37" s="732"/>
      <c r="D37" s="574"/>
      <c r="E37" s="807" t="s">
        <v>967</v>
      </c>
      <c r="F37" s="799"/>
      <c r="G37" s="921"/>
      <c r="H37" s="921"/>
      <c r="I37" s="921"/>
      <c r="J37" s="921"/>
      <c r="K37" s="800"/>
      <c r="U37" s="732"/>
      <c r="V37" s="732">
        <v>11</v>
      </c>
    </row>
    <row customHeight="1" ht="71.25">
      <c r="A38" s="732"/>
      <c r="B38" s="732" t="s">
        <v>968</v>
      </c>
      <c r="C38" s="753"/>
      <c r="D38" s="919">
        <v>4</v>
      </c>
      <c r="E38" s="920" t="s">
        <v>969</v>
      </c>
      <c r="F38" s="922" t="s">
        <v>311</v>
      </c>
      <c r="G38" s="1041" t="s">
        <v>965</v>
      </c>
      <c r="H38" s="1042" t="s">
        <v>311</v>
      </c>
      <c r="I38" s="751" t="s">
        <v>965</v>
      </c>
      <c r="J38" s="748" t="s">
        <v>311</v>
      </c>
      <c r="K38" s="906" t="s">
        <v>970</v>
      </c>
      <c r="V38" s="732">
        <v>68</v>
      </c>
    </row>
    <row customHeight="1" ht="11.549999999999999">
      <c r="A39" s="732"/>
      <c r="C39" s="732"/>
      <c r="D39" s="574"/>
      <c r="E39" s="807" t="s">
        <v>971</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F9B68-8F3F-EB84-4D5E-1D00B657126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514" width="6.7109375" hidden="1" customWidth="1"/>
    <col min="4" max="4" style="13221" width="6.7109375" hidden="1" customWidth="1"/>
    <col min="5" max="5" style="13141" width="3.00390625" customWidth="1"/>
    <col min="6" max="6" style="13141" width="6.00390625" customWidth="1"/>
    <col min="7" max="7" style="13141" width="37.00390625" customWidth="1"/>
    <col min="8" max="8" style="13141" width="16.00390625" customWidth="1"/>
    <col min="9" max="10" style="13141" width="19.00390625" customWidth="1"/>
    <col min="11" max="11" style="13141" width="24.00390625" customWidth="1"/>
    <col min="12" max="13" style="13141" width="25.00390625" customWidth="1"/>
    <col min="14" max="16" style="13141" width="17.00390625" customWidth="1"/>
    <col min="17" max="24" style="13141" width="19.00390625" customWidth="1"/>
    <col min="25" max="25" style="13141" width="7.00390625" customWidth="1"/>
    <col min="26" max="26" style="13141" width="3.00390625" customWidth="1"/>
    <col min="27" max="27" style="13141" width="6.00390625" customWidth="1"/>
    <col min="28" max="28" style="13141" width="34.00390625" customWidth="1"/>
    <col min="29" max="30" style="13141" width="8.00390625" customWidth="1"/>
    <col min="31" max="31" style="13141" width="9.140625" hidden="1"/>
  </cols>
  <sheetData>
    <row s="13221" customFormat="1" customHeight="1" ht="10.5" hidden="1">
      <c r="A1" s="1122"/>
      <c r="B1" s="1122"/>
      <c r="C1" s="1122"/>
      <c r="E1" s="764"/>
      <c r="H1" s="1387"/>
      <c r="AE1" s="644" t="s">
        <v>14</v>
      </c>
    </row>
    <row customHeight="1" ht="10.5" hidden="1">
      <c r="AE2" s="985">
        <v>0</v>
      </c>
    </row>
    <row s="13105" customFormat="1" customHeight="1" ht="10.5" hidden="1">
      <c r="A3" s="1122"/>
      <c r="B3" s="1122"/>
      <c r="C3" s="1122"/>
      <c r="D3" s="644"/>
      <c r="E3" s="589"/>
      <c r="G3" s="1859" t="s">
        <v>972</v>
      </c>
      <c r="H3" s="1383"/>
      <c r="AE3" s="986">
        <v>0</v>
      </c>
    </row>
    <row customHeight="1" ht="3">
      <c r="AE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M5" s="809"/>
      <c r="AB5" s="1133"/>
      <c r="AE5" s="985">
        <v>26</v>
      </c>
    </row>
    <row s="13141" customFormat="1" customHeight="1" ht="16.8">
      <c r="A6" s="1393"/>
      <c r="B6" s="1393"/>
      <c r="C6" s="1393"/>
      <c r="D6" s="1387"/>
      <c r="E6" s="1862"/>
      <c r="F6" s="2476" t="str">
        <f>IF(org=0,"Не определено",org)</f>
        <v>МУП "Уссурийск-Водоканал"</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972</v>
      </c>
      <c r="H9" s="2402" t="s">
        <v>973</v>
      </c>
      <c r="I9" s="2354" t="s">
        <v>974</v>
      </c>
      <c r="J9" s="2354" t="s">
        <v>975</v>
      </c>
      <c r="K9" s="2354" t="s">
        <v>976</v>
      </c>
      <c r="L9" s="2354" t="s">
        <v>977</v>
      </c>
      <c r="M9" s="2354" t="s">
        <v>978</v>
      </c>
      <c r="N9" s="2436" t="s">
        <v>979</v>
      </c>
      <c r="O9" s="2436"/>
      <c r="P9" s="2436"/>
      <c r="Q9" s="2626" t="s">
        <v>980</v>
      </c>
      <c r="R9" s="2627"/>
      <c r="S9" s="2627"/>
      <c r="T9" s="2628"/>
      <c r="U9" s="2626" t="s">
        <v>981</v>
      </c>
      <c r="V9" s="2627"/>
      <c r="W9" s="2627"/>
      <c r="X9" s="2628"/>
      <c r="Y9" s="2328" t="s">
        <v>982</v>
      </c>
      <c r="Z9" s="2329"/>
      <c r="AA9" s="2329"/>
      <c r="AB9" s="2330"/>
      <c r="AE9" s="985">
        <v>41</v>
      </c>
    </row>
    <row customHeight="1" ht="43.050000000000004">
      <c r="A10" s="1132"/>
      <c r="B10" s="1132"/>
      <c r="C10" s="1132"/>
      <c r="F10" s="2402"/>
      <c r="G10" s="2402"/>
      <c r="H10" s="2459"/>
      <c r="I10" s="2402"/>
      <c r="J10" s="2402"/>
      <c r="K10" s="2402"/>
      <c r="L10" s="2402"/>
      <c r="M10" s="2402"/>
      <c r="N10" s="1130" t="s">
        <v>983</v>
      </c>
      <c r="O10" s="1130" t="s">
        <v>984</v>
      </c>
      <c r="P10" s="1131" t="s">
        <v>985</v>
      </c>
      <c r="Q10" s="1142" t="s">
        <v>89</v>
      </c>
      <c r="R10" s="1142" t="s">
        <v>986</v>
      </c>
      <c r="S10" s="1142" t="s">
        <v>987</v>
      </c>
      <c r="T10" s="1143" t="s">
        <v>988</v>
      </c>
      <c r="U10" s="1142" t="s">
        <v>89</v>
      </c>
      <c r="V10" s="1142" t="s">
        <v>989</v>
      </c>
      <c r="W10" s="1142" t="s">
        <v>987</v>
      </c>
      <c r="X10" s="1143" t="s">
        <v>988</v>
      </c>
      <c r="Y10" s="528" t="s">
        <v>990</v>
      </c>
      <c r="Z10" s="2328" t="s">
        <v>88</v>
      </c>
      <c r="AA10" s="2330"/>
      <c r="AB10" s="1276" t="s">
        <v>991</v>
      </c>
      <c r="AE10" s="985">
        <v>41</v>
      </c>
    </row>
    <row s="13222"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992</v>
      </c>
      <c r="AE11" s="738">
        <v>0</v>
      </c>
    </row>
    <row s="13222"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993</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3222"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09316-34BD-FE0F-E893-2B6F15F1B3B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514" width="4.140625" hidden="1" customWidth="1"/>
    <col min="4" max="4" style="13221" width="4.140625" hidden="1" customWidth="1"/>
    <col min="5" max="5" style="13141" width="3.00390625" customWidth="1"/>
    <col min="6" max="6" style="13141" width="14.00390625" customWidth="1"/>
    <col min="7" max="7" style="13141" width="3.00390625" customWidth="1"/>
    <col min="8" max="8" style="13141" width="7.00390625" customWidth="1"/>
    <col min="9" max="10" style="13141" width="16.00390625" customWidth="1"/>
    <col min="11" max="11" style="13141" width="25.00390625" customWidth="1"/>
    <col min="12" max="12" style="13141" width="7.00390625" customWidth="1"/>
    <col min="13" max="13" style="13141" width="15.00390625" customWidth="1"/>
    <col min="14" max="14" style="13141" width="3.00390625" customWidth="1"/>
    <col min="15" max="15" style="13141" width="4.00390625" customWidth="1"/>
    <col min="16" max="16" style="13141" width="8.00390625" customWidth="1"/>
    <col min="17" max="17" style="13141" width="21.00390625" customWidth="1"/>
    <col min="18" max="18" style="13141" width="14.00390625" customWidth="1"/>
    <col min="19" max="20" style="13141" width="17.00390625" customWidth="1"/>
    <col min="21" max="21" style="13141" width="9.00390625" customWidth="1"/>
    <col min="22" max="22" style="13141" width="12.00390625" customWidth="1"/>
    <col min="23" max="23" style="13141" width="9.00390625" customWidth="1"/>
    <col min="24" max="24" style="13141" width="21.00390625" customWidth="1"/>
    <col min="25" max="25" style="13141" width="12.00390625" customWidth="1"/>
    <col min="26" max="26" style="13141" width="3.00390625" customWidth="1"/>
    <col min="27" max="27" style="13141" width="6.00390625" customWidth="1"/>
    <col min="28" max="28" style="13141" width="38.00390625" customWidth="1"/>
    <col min="29" max="29" style="13141" width="15.00390625" customWidth="1"/>
    <col min="30" max="30" style="13141" width="37.57421875" hidden="1" customWidth="1"/>
    <col min="31" max="31" style="13141" width="15.7109375" hidden="1" customWidth="1"/>
    <col min="32" max="34" style="13141" width="16.00390625" customWidth="1"/>
    <col min="35" max="37" style="13141" width="16.7109375" hidden="1" customWidth="1"/>
    <col min="38" max="58" style="13141" width="8.00390625" customWidth="1"/>
    <col min="59" max="59" style="13141" width="9.140625" hidden="1"/>
  </cols>
  <sheetData>
    <row s="13221" customFormat="1" customHeight="1" ht="10.5" hidden="1">
      <c r="A1" s="1122"/>
      <c r="B1" s="1122"/>
      <c r="C1" s="1122"/>
      <c r="E1" s="764"/>
      <c r="H1" s="1387"/>
      <c r="L1" s="1355"/>
      <c r="M1" s="1355"/>
      <c r="AD1" s="1355"/>
      <c r="AH1" s="1374"/>
      <c r="AI1" s="1367"/>
      <c r="BG1" s="644" t="s">
        <v>14</v>
      </c>
    </row>
    <row customHeight="1" ht="10.5" hidden="1">
      <c r="BG2" s="985">
        <v>0</v>
      </c>
    </row>
    <row s="13105"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МУП "Уссурийск-Водоканал"</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994</v>
      </c>
      <c r="G9" s="2636" t="s">
        <v>995</v>
      </c>
      <c r="H9" s="2637"/>
      <c r="I9" s="2354" t="s">
        <v>996</v>
      </c>
      <c r="J9" s="2354"/>
      <c r="K9" s="2354" t="s">
        <v>997</v>
      </c>
      <c r="L9" s="2354"/>
      <c r="M9" s="2354"/>
      <c r="N9" s="2354"/>
      <c r="O9" s="2354"/>
      <c r="P9" s="2354"/>
      <c r="Q9" s="2354"/>
      <c r="R9" s="2354"/>
      <c r="S9" s="2354"/>
      <c r="T9" s="2354"/>
      <c r="U9" s="2354"/>
      <c r="V9" s="2354"/>
      <c r="W9" s="2354"/>
      <c r="X9" s="2354"/>
      <c r="Y9" s="2354"/>
      <c r="Z9" s="2419" t="s">
        <v>998</v>
      </c>
      <c r="AA9" s="2420"/>
      <c r="AB9" s="2354" t="s">
        <v>999</v>
      </c>
      <c r="AC9" s="2354"/>
      <c r="AD9" s="2354"/>
      <c r="AE9" s="2354"/>
      <c r="AF9" s="2402" t="s">
        <v>1000</v>
      </c>
      <c r="AG9" s="2354" t="s">
        <v>1001</v>
      </c>
      <c r="AH9" s="2354"/>
      <c r="AI9" s="2402" t="s">
        <v>1002</v>
      </c>
      <c r="AJ9" s="2354" t="s">
        <v>1003</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1004</v>
      </c>
      <c r="L10" s="2328" t="s">
        <v>1005</v>
      </c>
      <c r="M10" s="2330"/>
      <c r="N10" s="2354" t="s">
        <v>1006</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3141" customFormat="1" customHeight="1" ht="25.2">
      <c r="A11" s="1356"/>
      <c r="B11" s="1356"/>
      <c r="C11" s="1356"/>
      <c r="D11" s="1355"/>
      <c r="E11" s="1357"/>
      <c r="F11" s="2635"/>
      <c r="G11" s="2638"/>
      <c r="H11" s="2639"/>
      <c r="I11" s="2354"/>
      <c r="J11" s="2354"/>
      <c r="K11" s="2354"/>
      <c r="L11" s="2402" t="s">
        <v>1007</v>
      </c>
      <c r="M11" s="2402" t="s">
        <v>1008</v>
      </c>
      <c r="N11" s="2354" t="s">
        <v>1009</v>
      </c>
      <c r="O11" s="2354"/>
      <c r="P11" s="2645" t="s">
        <v>990</v>
      </c>
      <c r="Q11" s="2645" t="s">
        <v>1010</v>
      </c>
      <c r="R11" s="2645" t="s">
        <v>1011</v>
      </c>
      <c r="S11" s="2645" t="s">
        <v>1012</v>
      </c>
      <c r="T11" s="2645"/>
      <c r="U11" s="2645"/>
      <c r="V11" s="2645"/>
      <c r="W11" s="2645"/>
      <c r="X11" s="2645"/>
      <c r="Y11" s="2645"/>
      <c r="Z11" s="2421"/>
      <c r="AA11" s="2422"/>
      <c r="AB11" s="2354" t="s">
        <v>1013</v>
      </c>
      <c r="AC11" s="2354"/>
      <c r="AD11" s="2328" t="s">
        <v>1014</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1015</v>
      </c>
      <c r="K12" s="2354"/>
      <c r="L12" s="2459"/>
      <c r="M12" s="2459"/>
      <c r="N12" s="2354"/>
      <c r="O12" s="2354"/>
      <c r="P12" s="2645"/>
      <c r="Q12" s="2645"/>
      <c r="R12" s="2645"/>
      <c r="S12" s="1361" t="s">
        <v>86</v>
      </c>
      <c r="T12" s="1361" t="s">
        <v>87</v>
      </c>
      <c r="U12" s="1361" t="s">
        <v>85</v>
      </c>
      <c r="V12" s="1361" t="s">
        <v>1016</v>
      </c>
      <c r="W12" s="1361" t="s">
        <v>85</v>
      </c>
      <c r="X12" s="1361" t="s">
        <v>1017</v>
      </c>
      <c r="Y12" s="1361" t="s">
        <v>1018</v>
      </c>
      <c r="Z12" s="2427"/>
      <c r="AA12" s="2428"/>
      <c r="AB12" s="1368" t="s">
        <v>1019</v>
      </c>
      <c r="AC12" s="1368" t="s">
        <v>1020</v>
      </c>
      <c r="AD12" s="1368" t="s">
        <v>1019</v>
      </c>
      <c r="AE12" s="1368" t="s">
        <v>1020</v>
      </c>
      <c r="AF12" s="2459"/>
      <c r="AG12" s="1381" t="s">
        <v>1021</v>
      </c>
      <c r="AH12" s="1381" t="s">
        <v>1022</v>
      </c>
      <c r="AI12" s="2459"/>
      <c r="AJ12" s="1381" t="s">
        <v>1021</v>
      </c>
      <c r="AK12" s="1381" t="s">
        <v>1022</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1023</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2535F-7064-A6A1-97F3-74AE0BF3505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514" width="4.140625" hidden="1" customWidth="1"/>
    <col min="4" max="4" style="13221" width="4.140625" hidden="1" customWidth="1"/>
    <col min="5" max="5" style="13141" width="3.00390625" customWidth="1"/>
    <col min="6" max="6" style="13141" width="6.00390625" customWidth="1"/>
    <col min="7" max="7" style="13141" width="60.00390625" customWidth="1"/>
    <col min="8" max="9" style="13141" width="21.7109375" hidden="1" customWidth="1"/>
    <col min="10" max="10" style="13141" width="0.140625" customWidth="1"/>
    <col min="11" max="11" style="13141" width="1.00390625" customWidth="1"/>
    <col min="12" max="22" style="13141" width="8.00390625" customWidth="1"/>
    <col min="23" max="23" style="13141" width="9.140625" hidden="1"/>
  </cols>
  <sheetData>
    <row s="13221" customFormat="1" customHeight="1" ht="10.5" hidden="1">
      <c r="A1" s="1393"/>
      <c r="B1" s="1393"/>
      <c r="C1" s="1393"/>
      <c r="E1" s="764"/>
      <c r="W1" s="1387" t="s">
        <v>14</v>
      </c>
    </row>
    <row customHeight="1" ht="10.5" hidden="1">
      <c r="W2" s="1382">
        <v>0</v>
      </c>
    </row>
    <row s="13105"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75"/>
      <c r="H5" s="2475"/>
      <c r="I5" s="2475"/>
      <c r="J5" s="2475"/>
      <c r="W5" s="1382">
        <v>26</v>
      </c>
    </row>
    <row customHeight="1" ht="10.5">
      <c r="F6" s="2403" t="str">
        <f>IF(org=0,"Не определено",org)</f>
        <v>МУП "Уссурийск-Водоканал"</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3222"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1024</v>
      </c>
      <c r="H10" s="2653" t="s">
        <v>1025</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1026</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1027</v>
      </c>
      <c r="G14" s="2648" t="s">
        <v>1028</v>
      </c>
      <c r="H14" s="2648"/>
      <c r="I14" s="2648"/>
      <c r="J14" s="2648"/>
      <c r="K14" s="1461"/>
      <c r="W14" s="1382">
        <v>11</v>
      </c>
    </row>
    <row customHeight="1" ht="11.549999999999999">
      <c r="F15" s="1457">
        <v>1</v>
      </c>
      <c r="G15" s="917" t="s">
        <v>1029</v>
      </c>
      <c r="H15" s="1463">
        <f>SUM(I15:J15)</f>
        <v>0</v>
      </c>
      <c r="I15" s="1463">
        <f>SUM(I16:I27)</f>
        <v>0</v>
      </c>
      <c r="J15" s="1452"/>
      <c r="K15" s="1461"/>
      <c r="W15" s="1382">
        <v>11</v>
      </c>
    </row>
    <row customHeight="1" ht="24">
      <c r="F16" s="1457" t="s">
        <v>1030</v>
      </c>
      <c r="G16" s="1464" t="s">
        <v>1031</v>
      </c>
      <c r="H16" s="1463">
        <f>SUM(I16:J16)</f>
        <v>0</v>
      </c>
      <c r="I16" s="1462"/>
      <c r="J16" s="1452"/>
      <c r="K16" s="1461"/>
      <c r="W16" s="1382">
        <v>23</v>
      </c>
    </row>
    <row customHeight="1" ht="24">
      <c r="F17" s="1457" t="s">
        <v>1032</v>
      </c>
      <c r="G17" s="1464" t="s">
        <v>1033</v>
      </c>
      <c r="H17" s="1463">
        <f>SUM(I17:J17)</f>
        <v>0</v>
      </c>
      <c r="I17" s="1462"/>
      <c r="J17" s="1452"/>
      <c r="K17" s="1461"/>
      <c r="W17" s="1382">
        <v>23</v>
      </c>
    </row>
    <row customHeight="1" ht="35.699999999999996">
      <c r="F18" s="1457" t="s">
        <v>1034</v>
      </c>
      <c r="G18" s="1464" t="s">
        <v>1035</v>
      </c>
      <c r="H18" s="1463">
        <f>SUM(I18:J18)</f>
        <v>0</v>
      </c>
      <c r="I18" s="1462"/>
      <c r="J18" s="1452"/>
      <c r="K18" s="1461"/>
      <c r="W18" s="1382">
        <v>34</v>
      </c>
    </row>
    <row customHeight="1" ht="35.699999999999996">
      <c r="F19" s="1457" t="s">
        <v>1036</v>
      </c>
      <c r="G19" s="1464" t="s">
        <v>1037</v>
      </c>
      <c r="H19" s="1463">
        <f>SUM(I19:J19)</f>
        <v>0</v>
      </c>
      <c r="I19" s="1462"/>
      <c r="J19" s="1452"/>
      <c r="K19" s="1461"/>
      <c r="W19" s="1382">
        <v>34</v>
      </c>
    </row>
    <row customHeight="1" ht="48.29999999999999">
      <c r="F20" s="1457" t="s">
        <v>1038</v>
      </c>
      <c r="G20" s="1464" t="s">
        <v>1039</v>
      </c>
      <c r="H20" s="1463">
        <f>SUM(I20:J20)</f>
        <v>0</v>
      </c>
      <c r="I20" s="1462"/>
      <c r="J20" s="1452"/>
      <c r="K20" s="1461"/>
      <c r="W20" s="1382">
        <v>46</v>
      </c>
    </row>
    <row customHeight="1" ht="35.699999999999996">
      <c r="F21" s="1457" t="s">
        <v>1040</v>
      </c>
      <c r="G21" s="1464" t="s">
        <v>1041</v>
      </c>
      <c r="H21" s="1463">
        <f>SUM(I21:J21)</f>
        <v>0</v>
      </c>
      <c r="I21" s="1462"/>
      <c r="J21" s="1452"/>
      <c r="K21" s="1461"/>
      <c r="W21" s="1382">
        <v>34</v>
      </c>
    </row>
    <row customHeight="1" ht="35.699999999999996">
      <c r="F22" s="1457" t="s">
        <v>1042</v>
      </c>
      <c r="G22" s="1464" t="s">
        <v>1043</v>
      </c>
      <c r="H22" s="1463">
        <f>SUM(I22:J22)</f>
        <v>0</v>
      </c>
      <c r="I22" s="1462"/>
      <c r="J22" s="1452"/>
      <c r="K22" s="1461"/>
      <c r="W22" s="1382">
        <v>34</v>
      </c>
    </row>
    <row customHeight="1" ht="24">
      <c r="F23" s="1457" t="s">
        <v>1044</v>
      </c>
      <c r="G23" s="1464" t="s">
        <v>1045</v>
      </c>
      <c r="H23" s="1463">
        <f>SUM(I23:J23)</f>
        <v>0</v>
      </c>
      <c r="I23" s="1462"/>
      <c r="J23" s="1452"/>
      <c r="K23" s="1461"/>
      <c r="W23" s="1382">
        <v>23</v>
      </c>
    </row>
    <row customHeight="1" ht="24">
      <c r="F24" s="1457" t="s">
        <v>1046</v>
      </c>
      <c r="G24" s="1464" t="s">
        <v>1047</v>
      </c>
      <c r="H24" s="1463">
        <f>SUM(I24:J24)</f>
        <v>0</v>
      </c>
      <c r="I24" s="1462"/>
      <c r="J24" s="1452"/>
      <c r="K24" s="1461"/>
      <c r="W24" s="1382">
        <v>23</v>
      </c>
    </row>
    <row customHeight="1" ht="35.699999999999996">
      <c r="F25" s="1457" t="s">
        <v>1048</v>
      </c>
      <c r="G25" s="1464" t="s">
        <v>1049</v>
      </c>
      <c r="H25" s="1463">
        <f>SUM(I25:J25)</f>
        <v>0</v>
      </c>
      <c r="I25" s="1462"/>
      <c r="J25" s="1452"/>
      <c r="K25" s="1461"/>
      <c r="W25" s="1382">
        <v>34</v>
      </c>
    </row>
    <row customHeight="1" ht="35.699999999999996">
      <c r="F26" s="1457" t="s">
        <v>1050</v>
      </c>
      <c r="G26" s="1464" t="s">
        <v>1051</v>
      </c>
      <c r="H26" s="1463">
        <f>SUM(I26:J26)</f>
        <v>0</v>
      </c>
      <c r="I26" s="1462"/>
      <c r="J26" s="1452"/>
      <c r="K26" s="1461"/>
      <c r="W26" s="1382">
        <v>34</v>
      </c>
    </row>
    <row customHeight="1" ht="11.549999999999999">
      <c r="F27" s="1457" t="s">
        <v>1052</v>
      </c>
      <c r="G27" s="1464" t="s">
        <v>1053</v>
      </c>
      <c r="H27" s="1463">
        <f>SUM(I27:J27)</f>
        <v>0</v>
      </c>
      <c r="I27" s="1462"/>
      <c r="J27" s="1452"/>
      <c r="K27" s="1461"/>
      <c r="W27" s="1382">
        <v>11</v>
      </c>
    </row>
    <row customHeight="1" ht="11.549999999999999">
      <c r="F28" s="1457">
        <v>2</v>
      </c>
      <c r="G28" s="917" t="s">
        <v>1054</v>
      </c>
      <c r="H28" s="1463">
        <f>SUM(I28:J28)</f>
        <v>0</v>
      </c>
      <c r="I28" s="1463">
        <f>SUM(I29:I31)</f>
        <v>0</v>
      </c>
      <c r="J28" s="1452"/>
      <c r="K28" s="1461"/>
      <c r="W28" s="1382">
        <v>11</v>
      </c>
    </row>
    <row customHeight="1" ht="11.549999999999999">
      <c r="F29" s="1457" t="s">
        <v>717</v>
      </c>
      <c r="G29" s="1464" t="s">
        <v>1055</v>
      </c>
      <c r="H29" s="1463">
        <f>SUM(I29:J29)</f>
        <v>0</v>
      </c>
      <c r="I29" s="1462"/>
      <c r="J29" s="1452"/>
      <c r="K29" s="1461"/>
      <c r="W29" s="1382">
        <v>11</v>
      </c>
    </row>
    <row customHeight="1" ht="11.549999999999999">
      <c r="F30" s="1457" t="s">
        <v>312</v>
      </c>
      <c r="G30" s="1464" t="s">
        <v>1056</v>
      </c>
      <c r="H30" s="1463">
        <f>SUM(I30:J30)</f>
        <v>0</v>
      </c>
      <c r="I30" s="1462"/>
      <c r="J30" s="1452"/>
      <c r="K30" s="1461"/>
      <c r="W30" s="1382">
        <v>11</v>
      </c>
    </row>
    <row customHeight="1" ht="11.549999999999999">
      <c r="F31" s="1457" t="s">
        <v>315</v>
      </c>
      <c r="G31" s="1464" t="s">
        <v>1057</v>
      </c>
      <c r="H31" s="1463">
        <f>SUM(I31:J31)</f>
        <v>0</v>
      </c>
      <c r="I31" s="1462"/>
      <c r="J31" s="1452"/>
      <c r="K31" s="1461"/>
      <c r="W31" s="1382">
        <v>11</v>
      </c>
    </row>
    <row customHeight="1" ht="11.549999999999999">
      <c r="F32" s="1457">
        <v>3</v>
      </c>
      <c r="G32" s="917" t="s">
        <v>1058</v>
      </c>
      <c r="H32" s="1463">
        <f>SUM(I32:J32)</f>
        <v>0</v>
      </c>
      <c r="I32" s="1463">
        <f>SUM(I33:I34)</f>
        <v>0</v>
      </c>
      <c r="J32" s="1452"/>
      <c r="K32" s="1461"/>
      <c r="W32" s="1382">
        <v>11</v>
      </c>
    </row>
    <row customHeight="1" ht="48.29999999999999">
      <c r="F33" s="1457" t="s">
        <v>329</v>
      </c>
      <c r="G33" s="1464" t="s">
        <v>1059</v>
      </c>
      <c r="H33" s="1463">
        <f>SUM(I33:J33)</f>
        <v>0</v>
      </c>
      <c r="I33" s="1462"/>
      <c r="J33" s="1452"/>
      <c r="K33" s="1461"/>
      <c r="W33" s="1382">
        <v>46</v>
      </c>
    </row>
    <row customHeight="1" ht="11.549999999999999">
      <c r="F34" s="1457" t="s">
        <v>337</v>
      </c>
      <c r="G34" s="1464" t="s">
        <v>1060</v>
      </c>
      <c r="H34" s="1463">
        <f>SUM(I34:J34)</f>
        <v>0</v>
      </c>
      <c r="I34" s="1462"/>
      <c r="J34" s="1452"/>
      <c r="K34" s="1461"/>
      <c r="W34" s="1382">
        <v>11</v>
      </c>
    </row>
    <row customHeight="1" ht="11.549999999999999">
      <c r="F35" s="1457">
        <v>4</v>
      </c>
      <c r="G35" s="917" t="s">
        <v>1061</v>
      </c>
      <c r="H35" s="1463">
        <f>SUM(I35:J35)</f>
        <v>0</v>
      </c>
      <c r="I35" s="1462"/>
      <c r="J35" s="1452"/>
      <c r="K35" s="1461"/>
      <c r="W35" s="1382">
        <v>11</v>
      </c>
    </row>
    <row customHeight="1" ht="11.549999999999999">
      <c r="F36" s="1457"/>
      <c r="G36" s="920" t="s">
        <v>1062</v>
      </c>
      <c r="H36" s="1463">
        <f>SUM(I36:J36)</f>
        <v>0</v>
      </c>
      <c r="I36" s="1463">
        <f>SUM(I15,I28,I32,I35)</f>
        <v>0</v>
      </c>
      <c r="J36" s="1452"/>
      <c r="K36" s="1461"/>
      <c r="W36" s="1382">
        <v>11</v>
      </c>
    </row>
    <row customHeight="1" ht="29.25">
      <c r="F37" s="1458" t="s">
        <v>1063</v>
      </c>
      <c r="G37" s="2649" t="s">
        <v>1064</v>
      </c>
      <c r="H37" s="2649"/>
      <c r="I37" s="2649"/>
      <c r="J37" s="2649"/>
      <c r="K37" s="1461"/>
      <c r="W37" s="1382">
        <v>28</v>
      </c>
    </row>
    <row customHeight="1" ht="24">
      <c r="F38" s="1457" t="s">
        <v>109</v>
      </c>
      <c r="G38" s="917" t="s">
        <v>1065</v>
      </c>
      <c r="H38" s="1463">
        <f>SUM(I38:J38)</f>
        <v>0</v>
      </c>
      <c r="I38" s="1463">
        <f>SUM(I39,I44,I47)</f>
        <v>0</v>
      </c>
      <c r="J38" s="1452"/>
      <c r="K38" s="1461"/>
      <c r="W38" s="1382">
        <v>23</v>
      </c>
    </row>
    <row customHeight="1" ht="11.549999999999999">
      <c r="F39" s="1457" t="s">
        <v>1030</v>
      </c>
      <c r="G39" s="1464" t="s">
        <v>1029</v>
      </c>
      <c r="H39" s="1463">
        <f>SUM(I39:J39)</f>
        <v>0</v>
      </c>
      <c r="I39" s="1463">
        <f>SUM(I40:I43)</f>
        <v>0</v>
      </c>
      <c r="J39" s="1452"/>
      <c r="K39" s="1461"/>
      <c r="W39" s="1382">
        <v>11</v>
      </c>
    </row>
    <row customHeight="1" ht="24">
      <c r="F40" s="1457" t="s">
        <v>1066</v>
      </c>
      <c r="G40" s="1465" t="s">
        <v>1067</v>
      </c>
      <c r="H40" s="1463">
        <f>SUM(I40:J40)</f>
        <v>0</v>
      </c>
      <c r="I40" s="1462"/>
      <c r="J40" s="1452"/>
      <c r="K40" s="1461"/>
      <c r="W40" s="1382">
        <v>23</v>
      </c>
    </row>
    <row customHeight="1" ht="11.549999999999999">
      <c r="F41" s="1457" t="s">
        <v>1068</v>
      </c>
      <c r="G41" s="1465" t="s">
        <v>1069</v>
      </c>
      <c r="H41" s="1463">
        <f>SUM(I41:J41)</f>
        <v>0</v>
      </c>
      <c r="I41" s="1462"/>
      <c r="J41" s="1452"/>
      <c r="K41" s="1461"/>
      <c r="W41" s="1382">
        <v>11</v>
      </c>
    </row>
    <row customHeight="1" ht="11.549999999999999">
      <c r="F42" s="1457" t="s">
        <v>1070</v>
      </c>
      <c r="G42" s="1465" t="s">
        <v>1071</v>
      </c>
      <c r="H42" s="1463">
        <f>SUM(I42:J42)</f>
        <v>0</v>
      </c>
      <c r="I42" s="1462"/>
      <c r="J42" s="1452"/>
      <c r="K42" s="1461"/>
      <c r="W42" s="1382">
        <v>11</v>
      </c>
    </row>
    <row customHeight="1" ht="35.699999999999996">
      <c r="F43" s="1457" t="s">
        <v>1072</v>
      </c>
      <c r="G43" s="1465" t="s">
        <v>1073</v>
      </c>
      <c r="H43" s="1463">
        <f>SUM(I43:J43)</f>
        <v>0</v>
      </c>
      <c r="I43" s="1462"/>
      <c r="J43" s="1452"/>
      <c r="K43" s="1461"/>
      <c r="W43" s="1382">
        <v>34</v>
      </c>
    </row>
    <row customHeight="1" ht="11.549999999999999">
      <c r="F44" s="1457" t="s">
        <v>1032</v>
      </c>
      <c r="G44" s="1464" t="s">
        <v>1058</v>
      </c>
      <c r="H44" s="1463">
        <f>SUM(I44:J44)</f>
        <v>0</v>
      </c>
      <c r="I44" s="1463">
        <f>SUM(I45:I46)</f>
        <v>0</v>
      </c>
      <c r="J44" s="1452"/>
      <c r="K44" s="1461"/>
      <c r="W44" s="1382">
        <v>11</v>
      </c>
    </row>
    <row customHeight="1" ht="48.29999999999999">
      <c r="F45" s="1457" t="s">
        <v>1074</v>
      </c>
      <c r="G45" s="1465" t="s">
        <v>1059</v>
      </c>
      <c r="H45" s="1463">
        <f>SUM(I45:J45)</f>
        <v>0</v>
      </c>
      <c r="I45" s="1462"/>
      <c r="J45" s="1452"/>
      <c r="K45" s="1461"/>
      <c r="W45" s="1382">
        <v>46</v>
      </c>
    </row>
    <row customHeight="1" ht="11.549999999999999">
      <c r="F46" s="1457" t="s">
        <v>1075</v>
      </c>
      <c r="G46" s="1465" t="s">
        <v>1060</v>
      </c>
      <c r="H46" s="1463">
        <f>SUM(I46:J46)</f>
        <v>0</v>
      </c>
      <c r="I46" s="1462"/>
      <c r="J46" s="1452"/>
      <c r="K46" s="1461"/>
      <c r="W46" s="1382">
        <v>11</v>
      </c>
    </row>
    <row customHeight="1" ht="11.549999999999999">
      <c r="F47" s="1457" t="s">
        <v>1034</v>
      </c>
      <c r="G47" s="1464" t="s">
        <v>1076</v>
      </c>
      <c r="H47" s="1463">
        <f>SUM(I47:J47)</f>
        <v>0</v>
      </c>
      <c r="I47" s="1462"/>
      <c r="J47" s="1452"/>
      <c r="K47" s="1461"/>
      <c r="W47" s="1382">
        <v>11</v>
      </c>
    </row>
    <row customHeight="1" ht="24">
      <c r="F48" s="1457" t="s">
        <v>110</v>
      </c>
      <c r="G48" s="917" t="s">
        <v>1077</v>
      </c>
      <c r="H48" s="1463">
        <f>SUM(I48:J48)</f>
        <v>0</v>
      </c>
      <c r="I48" s="1463">
        <f>SUM(I49,I54,I57)</f>
        <v>0</v>
      </c>
      <c r="J48" s="1452"/>
      <c r="K48" s="1461"/>
      <c r="W48" s="1382">
        <v>23</v>
      </c>
    </row>
    <row customHeight="1" ht="11.549999999999999">
      <c r="F49" s="1457" t="s">
        <v>717</v>
      </c>
      <c r="G49" s="1464" t="s">
        <v>1029</v>
      </c>
      <c r="H49" s="1463">
        <f>SUM(I49:J49)</f>
        <v>0</v>
      </c>
      <c r="I49" s="1463">
        <f>SUM(I50:I53)</f>
        <v>0</v>
      </c>
      <c r="J49" s="1452"/>
      <c r="K49" s="1461"/>
      <c r="W49" s="1382">
        <v>11</v>
      </c>
    </row>
    <row customHeight="1" ht="24">
      <c r="F50" s="1457" t="s">
        <v>720</v>
      </c>
      <c r="G50" s="1465" t="s">
        <v>1067</v>
      </c>
      <c r="H50" s="1463">
        <f>SUM(I50:J50)</f>
        <v>0</v>
      </c>
      <c r="I50" s="1462"/>
      <c r="J50" s="1452"/>
      <c r="K50" s="1461"/>
      <c r="W50" s="1382">
        <v>23</v>
      </c>
    </row>
    <row customHeight="1" ht="11.549999999999999">
      <c r="F51" s="1457" t="s">
        <v>723</v>
      </c>
      <c r="G51" s="1465" t="s">
        <v>1069</v>
      </c>
      <c r="H51" s="1463">
        <f>SUM(I51:J51)</f>
        <v>0</v>
      </c>
      <c r="I51" s="1462"/>
      <c r="J51" s="1452"/>
      <c r="K51" s="1461"/>
      <c r="W51" s="1382">
        <v>11</v>
      </c>
    </row>
    <row customHeight="1" ht="11.549999999999999">
      <c r="F52" s="1457" t="s">
        <v>1078</v>
      </c>
      <c r="G52" s="1465" t="s">
        <v>1071</v>
      </c>
      <c r="H52" s="1463">
        <f>SUM(I52:J52)</f>
        <v>0</v>
      </c>
      <c r="I52" s="1462"/>
      <c r="J52" s="1452"/>
      <c r="K52" s="1461"/>
      <c r="W52" s="1382">
        <v>11</v>
      </c>
    </row>
    <row customHeight="1" ht="35.699999999999996">
      <c r="F53" s="1457" t="s">
        <v>1079</v>
      </c>
      <c r="G53" s="1465" t="s">
        <v>1073</v>
      </c>
      <c r="H53" s="1463">
        <f>SUM(I53:J53)</f>
        <v>0</v>
      </c>
      <c r="I53" s="1462"/>
      <c r="J53" s="1452"/>
      <c r="K53" s="1461"/>
      <c r="W53" s="1382">
        <v>34</v>
      </c>
    </row>
    <row customHeight="1" ht="11.549999999999999">
      <c r="F54" s="1457" t="s">
        <v>312</v>
      </c>
      <c r="G54" s="1464" t="s">
        <v>1058</v>
      </c>
      <c r="H54" s="1463">
        <f>SUM(I54:J54)</f>
        <v>0</v>
      </c>
      <c r="I54" s="1463">
        <f>SUM(I55:I56)</f>
        <v>0</v>
      </c>
      <c r="J54" s="1452"/>
      <c r="K54" s="1461"/>
      <c r="W54" s="1382">
        <v>11</v>
      </c>
    </row>
    <row customHeight="1" ht="48.29999999999999">
      <c r="F55" s="1457" t="s">
        <v>727</v>
      </c>
      <c r="G55" s="1465" t="s">
        <v>1059</v>
      </c>
      <c r="H55" s="1463">
        <f>SUM(I55:J55)</f>
        <v>0</v>
      </c>
      <c r="I55" s="1462"/>
      <c r="J55" s="1452"/>
      <c r="K55" s="1461"/>
      <c r="W55" s="1382">
        <v>46</v>
      </c>
    </row>
    <row customHeight="1" ht="11.549999999999999">
      <c r="F56" s="1457" t="s">
        <v>729</v>
      </c>
      <c r="G56" s="1465" t="s">
        <v>1060</v>
      </c>
      <c r="H56" s="1463">
        <f>SUM(I56:J56)</f>
        <v>0</v>
      </c>
      <c r="I56" s="1462"/>
      <c r="J56" s="1452"/>
      <c r="K56" s="1461"/>
      <c r="W56" s="1382">
        <v>11</v>
      </c>
    </row>
    <row customHeight="1" ht="11.549999999999999">
      <c r="F57" s="1457" t="s">
        <v>315</v>
      </c>
      <c r="G57" s="1464" t="s">
        <v>1076</v>
      </c>
      <c r="H57" s="1463">
        <f>SUM(I57:J57)</f>
        <v>0</v>
      </c>
      <c r="I57" s="1462"/>
      <c r="J57" s="1452"/>
      <c r="K57" s="1461"/>
      <c r="W57" s="1382">
        <v>11</v>
      </c>
    </row>
    <row customHeight="1" ht="11.549999999999999">
      <c r="F58" s="1457"/>
      <c r="G58" s="1466" t="s">
        <v>1062</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9EDCC-AA2A-8DD5-29D8-941ED425EFE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719" width="4.7109375" hidden="1" customWidth="1"/>
    <col min="2" max="2" style="15725" width="4.7109375" hidden="1" customWidth="1"/>
    <col min="3" max="4" style="15719" width="4.7109375" hidden="1" customWidth="1"/>
    <col min="5" max="5" style="15719" width="3.00390625" customWidth="1"/>
    <col min="6" max="6" style="15719" width="6.00390625" customWidth="1"/>
    <col min="7" max="7" style="15719" width="18.00390625" customWidth="1"/>
    <col min="8" max="8" style="15719" width="27.00390625" customWidth="1"/>
    <col min="9" max="9" style="15719" width="18.00390625" customWidth="1"/>
    <col min="10" max="14" style="15719" width="0.8515625" hidden="1" customWidth="1"/>
    <col min="15" max="28" style="15719" width="21.7109375" hidden="1" customWidth="1"/>
    <col min="29" max="71" style="15719" width="0.8515625" hidden="1" customWidth="1"/>
    <col min="72" max="79" style="15719" width="21.7109375" customWidth="1"/>
    <col min="80" max="81" style="15719" width="29.140625" customWidth="1"/>
    <col min="82" max="89" style="15719" width="21.7109375" customWidth="1"/>
    <col min="90" max="102" style="15719" width="0.7109375" customWidth="1"/>
    <col min="103" max="114" style="15719" width="21.7109375" hidden="1" customWidth="1"/>
    <col min="115" max="178" style="15719" width="0.7109375" hidden="1" customWidth="1"/>
    <col min="179" max="179" style="15719" width="0.140625" customWidth="1"/>
    <col min="180" max="184" style="15719" width="8.00390625" customWidth="1"/>
    <col min="185" max="185" style="15719" width="9.140625" hidden="1"/>
  </cols>
  <sheetData>
    <row s="15649" customFormat="1" customHeight="1" ht="12" hidden="1">
      <c r="B1" s="1150"/>
      <c r="C1" s="1151"/>
      <c r="D1" s="1151"/>
      <c r="GC1" s="1149" t="s">
        <v>14</v>
      </c>
    </row>
    <row s="1564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564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5659"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5664" customFormat="1" customHeight="1" ht="18.75">
      <c r="B6" s="1170"/>
      <c r="E6" s="1172"/>
      <c r="F6" s="2441" t="str">
        <f>IF(org=0,"Не определено",org)</f>
        <v>МУП "Уссурийск-Водоканал"</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566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5668" customFormat="1" customHeight="1" ht="11.25" hidden="1">
      <c r="B8" s="1161"/>
      <c r="F8" s="1283"/>
      <c r="G8" s="990"/>
      <c r="H8" s="587"/>
      <c r="I8" s="587"/>
      <c r="J8" s="587"/>
      <c r="K8" s="587"/>
      <c r="L8" s="587"/>
      <c r="M8" s="1283"/>
      <c r="N8" s="1283"/>
      <c r="O8" s="2677" t="s">
        <v>1080</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1081</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566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5668"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1082</v>
      </c>
      <c r="H11" s="2664" t="s">
        <v>1083</v>
      </c>
      <c r="I11" s="2664" t="s">
        <v>1084</v>
      </c>
      <c r="J11" s="2665"/>
      <c r="K11" s="2665"/>
      <c r="L11" s="2665"/>
      <c r="M11" s="2665"/>
      <c r="N11" s="2665"/>
      <c r="O11" s="2436" t="s">
        <v>1085</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1085</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1085</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1086</v>
      </c>
      <c r="P12" s="2436"/>
      <c r="Q12" s="2436"/>
      <c r="R12" s="2436"/>
      <c r="S12" s="2436" t="s">
        <v>1087</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1088</v>
      </c>
      <c r="BU12" s="2614"/>
      <c r="BV12" s="2614"/>
      <c r="BW12" s="2660"/>
      <c r="BX12" s="2613" t="s">
        <v>1089</v>
      </c>
      <c r="BY12" s="2614"/>
      <c r="BZ12" s="2614"/>
      <c r="CA12" s="2660"/>
      <c r="CB12" s="2613" t="s">
        <v>1090</v>
      </c>
      <c r="CC12" s="2660"/>
      <c r="CD12" s="2613" t="s">
        <v>1091</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1092</v>
      </c>
      <c r="CZ12" s="2614"/>
      <c r="DA12" s="2614"/>
      <c r="DB12" s="2614"/>
      <c r="DC12" s="2614"/>
      <c r="DD12" s="2660"/>
      <c r="DE12" s="2613" t="s">
        <v>1093</v>
      </c>
      <c r="DF12" s="2660"/>
      <c r="DG12" s="2613" t="s">
        <v>1091</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1094</v>
      </c>
      <c r="P13" s="2436"/>
      <c r="Q13" s="2436"/>
      <c r="R13" s="2436"/>
      <c r="S13" s="2563" t="s">
        <v>1095</v>
      </c>
      <c r="T13" s="2615"/>
      <c r="U13" s="2354" t="s">
        <v>1096</v>
      </c>
      <c r="V13" s="2354"/>
      <c r="W13" s="2354"/>
      <c r="X13" s="2354"/>
      <c r="Y13" s="2354" t="s">
        <v>1097</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1098</v>
      </c>
      <c r="BU13" s="2615"/>
      <c r="BV13" s="2563" t="s">
        <v>1099</v>
      </c>
      <c r="BW13" s="2615"/>
      <c r="BX13" s="2563" t="s">
        <v>1100</v>
      </c>
      <c r="BY13" s="2615"/>
      <c r="BZ13" s="2563" t="s">
        <v>1101</v>
      </c>
      <c r="CA13" s="2615"/>
      <c r="CB13" s="2563" t="s">
        <v>1102</v>
      </c>
      <c r="CC13" s="2615"/>
      <c r="CD13" s="2563" t="s">
        <v>1103</v>
      </c>
      <c r="CE13" s="2615"/>
      <c r="CF13" s="2563" t="s">
        <v>1104</v>
      </c>
      <c r="CG13" s="2615"/>
      <c r="CH13" s="2613" t="s">
        <v>1105</v>
      </c>
      <c r="CI13" s="2614"/>
      <c r="CJ13" s="2614"/>
      <c r="CK13" s="2660"/>
      <c r="CL13" s="2663"/>
      <c r="CM13" s="2661"/>
      <c r="CN13" s="2661"/>
      <c r="CO13" s="2661"/>
      <c r="CP13" s="2661"/>
      <c r="CQ13" s="2661"/>
      <c r="CR13" s="2661"/>
      <c r="CS13" s="2661"/>
      <c r="CT13" s="2661"/>
      <c r="CU13" s="2661"/>
      <c r="CV13" s="2661"/>
      <c r="CW13" s="2661"/>
      <c r="CX13" s="2680"/>
      <c r="CY13" s="2563" t="s">
        <v>1106</v>
      </c>
      <c r="CZ13" s="2615"/>
      <c r="DA13" s="2563" t="s">
        <v>1107</v>
      </c>
      <c r="DB13" s="2615"/>
      <c r="DC13" s="2563" t="s">
        <v>1108</v>
      </c>
      <c r="DD13" s="2615"/>
      <c r="DE13" s="2563" t="s">
        <v>1109</v>
      </c>
      <c r="DF13" s="2615"/>
      <c r="DG13" s="2613" t="s">
        <v>1110</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1111</v>
      </c>
      <c r="P14" s="2615"/>
      <c r="Q14" s="2563" t="s">
        <v>1112</v>
      </c>
      <c r="R14" s="2615"/>
      <c r="S14" s="2564"/>
      <c r="T14" s="2440"/>
      <c r="U14" s="2563" t="s">
        <v>844</v>
      </c>
      <c r="V14" s="2615"/>
      <c r="W14" s="2563" t="s">
        <v>847</v>
      </c>
      <c r="X14" s="2615"/>
      <c r="Y14" s="2563" t="s">
        <v>844</v>
      </c>
      <c r="Z14" s="2615"/>
      <c r="AA14" s="2563" t="s">
        <v>854</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1113</v>
      </c>
      <c r="CI14" s="2615"/>
      <c r="CJ14" s="2563" t="s">
        <v>1114</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1115</v>
      </c>
      <c r="DH14" s="2615"/>
      <c r="DI14" s="2563" t="s">
        <v>1116</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834</v>
      </c>
      <c r="P16" s="2660"/>
      <c r="Q16" s="2613" t="s">
        <v>836</v>
      </c>
      <c r="R16" s="2660"/>
      <c r="S16" s="2613" t="s">
        <v>840</v>
      </c>
      <c r="T16" s="2660"/>
      <c r="U16" s="2613" t="s">
        <v>845</v>
      </c>
      <c r="V16" s="2660"/>
      <c r="W16" s="2613" t="s">
        <v>848</v>
      </c>
      <c r="X16" s="2660"/>
      <c r="Y16" s="2613" t="s">
        <v>852</v>
      </c>
      <c r="Z16" s="2660"/>
      <c r="AA16" s="2613" t="s">
        <v>855</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567</v>
      </c>
      <c r="BU16" s="2660"/>
      <c r="BV16" s="2613" t="s">
        <v>567</v>
      </c>
      <c r="BW16" s="2660"/>
      <c r="BX16" s="2613" t="s">
        <v>567</v>
      </c>
      <c r="BY16" s="2660"/>
      <c r="BZ16" s="2613" t="s">
        <v>567</v>
      </c>
      <c r="CA16" s="2660"/>
      <c r="CB16" s="2613" t="s">
        <v>1117</v>
      </c>
      <c r="CC16" s="2660"/>
      <c r="CD16" s="2613" t="s">
        <v>567</v>
      </c>
      <c r="CE16" s="2660"/>
      <c r="CF16" s="2613" t="s">
        <v>1118</v>
      </c>
      <c r="CG16" s="2660"/>
      <c r="CH16" s="2613" t="s">
        <v>1119</v>
      </c>
      <c r="CI16" s="2660"/>
      <c r="CJ16" s="2613" t="s">
        <v>1119</v>
      </c>
      <c r="CK16" s="2660"/>
      <c r="CL16" s="2663"/>
      <c r="CM16" s="2661"/>
      <c r="CN16" s="2661"/>
      <c r="CO16" s="2661"/>
      <c r="CP16" s="2661"/>
      <c r="CQ16" s="2661"/>
      <c r="CR16" s="2661"/>
      <c r="CS16" s="2661"/>
      <c r="CT16" s="2661"/>
      <c r="CU16" s="2661"/>
      <c r="CV16" s="2661"/>
      <c r="CW16" s="2661"/>
      <c r="CX16" s="2680"/>
      <c r="CY16" s="2563" t="s">
        <v>567</v>
      </c>
      <c r="CZ16" s="2615"/>
      <c r="DA16" s="2563" t="s">
        <v>567</v>
      </c>
      <c r="DB16" s="2615"/>
      <c r="DC16" s="2563" t="s">
        <v>567</v>
      </c>
      <c r="DD16" s="2615"/>
      <c r="DE16" s="2613" t="s">
        <v>1117</v>
      </c>
      <c r="DF16" s="2660"/>
      <c r="DG16" s="2613" t="s">
        <v>1120</v>
      </c>
      <c r="DH16" s="2660"/>
      <c r="DI16" s="2613" t="s">
        <v>1120</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1121</v>
      </c>
      <c r="P17" s="1418" t="s">
        <v>1122</v>
      </c>
      <c r="Q17" s="1418" t="s">
        <v>1121</v>
      </c>
      <c r="R17" s="1418" t="s">
        <v>1122</v>
      </c>
      <c r="S17" s="1418" t="s">
        <v>1121</v>
      </c>
      <c r="T17" s="1418" t="s">
        <v>1122</v>
      </c>
      <c r="U17" s="1418" t="s">
        <v>1121</v>
      </c>
      <c r="V17" s="1418" t="s">
        <v>1122</v>
      </c>
      <c r="W17" s="1418" t="s">
        <v>1121</v>
      </c>
      <c r="X17" s="1418" t="s">
        <v>1122</v>
      </c>
      <c r="Y17" s="1418" t="s">
        <v>1121</v>
      </c>
      <c r="Z17" s="1418" t="s">
        <v>1122</v>
      </c>
      <c r="AA17" s="1418" t="s">
        <v>1121</v>
      </c>
      <c r="AB17" s="1418" t="s">
        <v>1122</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1121</v>
      </c>
      <c r="BU17" s="1418" t="s">
        <v>1122</v>
      </c>
      <c r="BV17" s="1418" t="s">
        <v>1121</v>
      </c>
      <c r="BW17" s="1418" t="s">
        <v>1122</v>
      </c>
      <c r="BX17" s="1418" t="s">
        <v>1121</v>
      </c>
      <c r="BY17" s="1418" t="s">
        <v>1122</v>
      </c>
      <c r="BZ17" s="1418" t="s">
        <v>1121</v>
      </c>
      <c r="CA17" s="1418" t="s">
        <v>1122</v>
      </c>
      <c r="CB17" s="1418" t="s">
        <v>1121</v>
      </c>
      <c r="CC17" s="1418" t="s">
        <v>1122</v>
      </c>
      <c r="CD17" s="1418" t="s">
        <v>1121</v>
      </c>
      <c r="CE17" s="1418" t="s">
        <v>1122</v>
      </c>
      <c r="CF17" s="1418" t="s">
        <v>1121</v>
      </c>
      <c r="CG17" s="1418" t="s">
        <v>1122</v>
      </c>
      <c r="CH17" s="1418" t="s">
        <v>1121</v>
      </c>
      <c r="CI17" s="1418" t="s">
        <v>1122</v>
      </c>
      <c r="CJ17" s="1418" t="s">
        <v>1121</v>
      </c>
      <c r="CK17" s="1418" t="s">
        <v>1122</v>
      </c>
      <c r="CL17" s="2663"/>
      <c r="CM17" s="2661"/>
      <c r="CN17" s="2661"/>
      <c r="CO17" s="2661"/>
      <c r="CP17" s="2661"/>
      <c r="CQ17" s="2661"/>
      <c r="CR17" s="2661"/>
      <c r="CS17" s="2661"/>
      <c r="CT17" s="2661"/>
      <c r="CU17" s="2661"/>
      <c r="CV17" s="2661"/>
      <c r="CW17" s="2661"/>
      <c r="CX17" s="2680"/>
      <c r="CY17" s="1418" t="s">
        <v>1121</v>
      </c>
      <c r="CZ17" s="1418" t="s">
        <v>1122</v>
      </c>
      <c r="DA17" s="1418" t="s">
        <v>1121</v>
      </c>
      <c r="DB17" s="1418" t="s">
        <v>1122</v>
      </c>
      <c r="DC17" s="1418" t="s">
        <v>1121</v>
      </c>
      <c r="DD17" s="1418" t="s">
        <v>1122</v>
      </c>
      <c r="DE17" s="1418" t="s">
        <v>1121</v>
      </c>
      <c r="DF17" s="1418" t="s">
        <v>1122</v>
      </c>
      <c r="DG17" s="1418" t="s">
        <v>1121</v>
      </c>
      <c r="DH17" s="1418" t="s">
        <v>1122</v>
      </c>
      <c r="DI17" s="1418" t="s">
        <v>1121</v>
      </c>
      <c r="DJ17" s="1418" t="s">
        <v>1122</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564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564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5649"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564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5649" customFormat="1" customHeight="1" ht="12.75">
      <c r="A22" s="1168"/>
      <c r="B22" s="1168"/>
      <c r="C22" s="1168"/>
      <c r="D22" s="1168"/>
      <c r="E22" s="1168"/>
      <c r="FX22" s="1168"/>
      <c r="FY22" s="1168"/>
      <c r="FZ22" s="1168"/>
      <c r="GA22" s="1168"/>
      <c r="GB22" s="1168"/>
      <c r="GC22" s="1149">
        <v>12</v>
      </c>
    </row>
    <row s="1571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877C5-B705-A3E6-387D-DC9EA81D646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105" width="9.140625" hidden="1" customWidth="1"/>
    <col min="2" max="2" style="13141" width="9.140625" hidden="1" customWidth="1"/>
    <col min="3" max="3" style="15543" width="4.00390625" customWidth="1"/>
    <col min="4" max="4" style="13141" width="6.00390625" customWidth="1"/>
    <col min="5" max="5" style="13141" width="36.00390625" customWidth="1"/>
    <col min="6" max="6" style="13141" width="9.00390625" customWidth="1"/>
    <col min="7" max="7" style="13141" width="42.421875" hidden="1" customWidth="1"/>
    <col min="8" max="8" style="13141" width="40.7109375" customWidth="1"/>
    <col min="9" max="9" style="13221" width="93.00390625" customWidth="1"/>
    <col min="10" max="17" style="13141" width="10.00390625" customWidth="1"/>
    <col min="18" max="18" style="15544" width="10.00390625" customWidth="1"/>
    <col min="19" max="19" style="13141" width="10.57421875" hidden="1"/>
  </cols>
  <sheetData>
    <row s="13221" customFormat="1" customHeight="1" ht="15" hidden="1">
      <c r="C1" s="899"/>
      <c r="H1" s="644">
        <v>4</v>
      </c>
      <c r="R1" s="647"/>
      <c r="S1" s="644" t="s">
        <v>14</v>
      </c>
    </row>
    <row customHeight="1" ht="22.5" hidden="1">
      <c r="C2" s="2155" t="s">
        <v>491</v>
      </c>
      <c r="D2" s="766"/>
      <c r="E2" s="890"/>
      <c r="F2" s="1988" t="str">
        <f>IF(TEMPLATE_SPHERE="HEAT","Гкал/час","тыс. куб. м/сутки")</f>
        <v>тыс. куб. м/сутки</v>
      </c>
      <c r="G2" s="907"/>
      <c r="H2" s="907"/>
      <c r="I2" s="516"/>
      <c r="S2" s="732">
        <v>0</v>
      </c>
    </row>
    <row s="13221"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64"/>
      <c r="F5" s="2464"/>
      <c r="G5" s="2464"/>
      <c r="H5" s="2464"/>
      <c r="I5" s="764"/>
      <c r="S5" s="732">
        <v>38</v>
      </c>
    </row>
    <row customHeight="1" ht="15.75">
      <c r="C6" s="403"/>
      <c r="D6" s="2403" t="str">
        <f>IF(org=0,"Не определено",org)</f>
        <v>МУП "Уссурийск-Водоканал"</v>
      </c>
      <c r="E6" s="2403"/>
      <c r="F6" s="2403"/>
      <c r="G6" s="2403"/>
      <c r="H6" s="2403"/>
      <c r="I6" s="764"/>
      <c r="S6" s="732">
        <v>15</v>
      </c>
    </row>
    <row s="13141"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f>IF(H8="","",INDEX(DIFFERENTIATION_UNMERGE_VD,MATCH(H8,DIFFERENTIATION_ID_DIFF,0)))</f>
        <v>0</v>
      </c>
      <c r="I9" s="2354" t="s">
        <v>306</v>
      </c>
      <c r="S9" s="732">
        <v>15</v>
      </c>
    </row>
    <row s="13141" customFormat="1" customHeight="1" ht="15.75">
      <c r="A10" s="986"/>
      <c r="C10" s="403"/>
      <c r="D10" s="938"/>
      <c r="E10" s="2594" t="s">
        <v>573</v>
      </c>
      <c r="F10" s="2595"/>
      <c r="G10" s="1043" t="str">
        <f>IF(G8="","",INDEX(DIFFERENTIATION_UNMERGE_AREA,MATCH(G8,DIFFERENTIATION_ID_DIFF,0)))</f>
        <v/>
      </c>
      <c r="H10" s="1043" t="str">
        <f>IF(H8="","",INDEX(DIFFERENTIATION_UNMERGE_AREA,MATCH(H8,DIFFERENTIATION_ID_DIFF,0)))</f>
        <v/>
      </c>
      <c r="I10" s="2354"/>
      <c r="R10" s="902"/>
      <c r="S10" s="985">
        <v>15</v>
      </c>
    </row>
    <row s="13141" customFormat="1" customHeight="1" ht="15.75">
      <c r="A11" s="986"/>
      <c r="C11" s="403"/>
      <c r="D11" s="938"/>
      <c r="E11" s="2594" t="s">
        <v>574</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3141" customFormat="1" customHeight="1" ht="15.75">
      <c r="A12" s="986"/>
      <c r="C12" s="403"/>
      <c r="D12" s="2596" t="s">
        <v>305</v>
      </c>
      <c r="E12" s="2597"/>
      <c r="F12" s="2597"/>
      <c r="G12" s="1114"/>
      <c r="H12" s="1114"/>
      <c r="I12" s="2354"/>
      <c r="R12" s="902"/>
      <c r="S12" s="985">
        <v>15</v>
      </c>
    </row>
    <row customHeight="1" ht="35.699999999999996">
      <c r="C13" s="403"/>
      <c r="D13" s="988" t="s">
        <v>88</v>
      </c>
      <c r="E13" s="987" t="s">
        <v>307</v>
      </c>
      <c r="F13" s="987" t="s">
        <v>575</v>
      </c>
      <c r="G13" s="1035" t="s">
        <v>308</v>
      </c>
      <c r="H13" s="981" t="s">
        <v>308</v>
      </c>
      <c r="I13" s="2354"/>
      <c r="S13" s="732">
        <v>34</v>
      </c>
    </row>
    <row customHeight="1" ht="15" hidden="1">
      <c r="C14" s="403"/>
      <c r="D14" s="820" t="s">
        <v>109</v>
      </c>
      <c r="E14" s="820" t="s">
        <v>110</v>
      </c>
      <c r="F14" s="820" t="s">
        <v>90</v>
      </c>
      <c r="G14" s="886" t="str">
        <f>G1&amp;".1"</f>
        <v>.1</v>
      </c>
      <c r="H14" s="886" t="str">
        <f>H1&amp;".1"</f>
        <v>4.1</v>
      </c>
      <c r="I14" s="516"/>
      <c r="S14" s="732">
        <v>0</v>
      </c>
    </row>
    <row customHeight="1" ht="15.75">
      <c r="A15" s="732"/>
      <c r="C15" s="753"/>
      <c r="D15" s="748">
        <v>1</v>
      </c>
      <c r="E15" s="2157" t="str">
        <f>TP_P_A</f>
        <v>Количество поданных заявлений </v>
      </c>
      <c r="F15" s="748" t="s">
        <v>1123</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1123</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1123</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32">
        <v>57</v>
      </c>
    </row>
    <row customHeight="1" ht="15" hidden="1">
      <c r="D20" s="736" t="s">
        <v>1124</v>
      </c>
      <c r="E20" s="915"/>
      <c r="F20" s="736"/>
      <c r="G20" s="736"/>
      <c r="H20" s="736"/>
      <c r="I20" s="1990"/>
      <c r="S20" s="732">
        <v>0</v>
      </c>
    </row>
    <row customHeight="1" ht="29.25">
      <c r="C21" s="678"/>
      <c r="D21" s="766" t="s">
        <v>318</v>
      </c>
      <c r="E21" s="897"/>
      <c r="F21" s="1988" t="str">
        <f>IF(TEMPLATE_SPHERE="HEAT","Гкал/час","тыс. куб. м/сутки")</f>
        <v>тыс. куб. м/сутки</v>
      </c>
      <c r="G21" s="907"/>
      <c r="H21" s="907"/>
      <c r="I21" s="23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32">
        <v>28</v>
      </c>
    </row>
    <row customHeight="1" ht="15.75">
      <c r="A22" s="732"/>
      <c r="C22" s="732"/>
      <c r="D22" s="574"/>
      <c r="E22" s="807" t="s">
        <v>1125</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BB675-818B-B218-9B7F-0573202887B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073" width="9.140625" hidden="1" customWidth="1"/>
    <col min="2" max="2" style="13221" width="9.140625" hidden="1" customWidth="1"/>
    <col min="3" max="3" style="14074" width="3.00390625" customWidth="1"/>
    <col min="4" max="4" style="13141" width="6.00390625" customWidth="1"/>
    <col min="5" max="6" style="13141" width="64.00390625" customWidth="1"/>
    <col min="7" max="7" style="13141" width="140.00390625" customWidth="1"/>
    <col min="8" max="8" style="13141" width="10.00390625" customWidth="1"/>
    <col min="9" max="10" style="13311" width="10.00390625" customWidth="1"/>
    <col min="11" max="16" style="13141" width="10.00390625" customWidth="1"/>
    <col min="17" max="17" style="13141"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82"/>
      <c r="F5" s="2682"/>
      <c r="G5" s="2683"/>
      <c r="Q5" s="310">
        <v>28</v>
      </c>
    </row>
    <row s="13141" customFormat="1" customHeight="1" ht="18.75">
      <c r="A6" s="1109"/>
      <c r="B6" s="644"/>
      <c r="C6" s="603"/>
      <c r="D6" s="2684" t="str">
        <f>IF(org=0,"Не определено",org)</f>
        <v>МУП "Уссурийск-Водоканал"</v>
      </c>
      <c r="E6" s="2685"/>
      <c r="F6" s="2685"/>
      <c r="G6" s="2686"/>
      <c r="I6" s="727"/>
      <c r="J6" s="727"/>
      <c r="Q6" s="985">
        <v>18</v>
      </c>
    </row>
    <row customHeight="1" ht="14.699999999999998">
      <c r="C7" s="323"/>
      <c r="D7" s="311"/>
      <c r="E7" s="322"/>
      <c r="F7" s="979"/>
      <c r="G7" s="420"/>
      <c r="Q7" s="310">
        <v>14</v>
      </c>
    </row>
    <row s="13141"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88</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5" t="s">
        <v>311</v>
      </c>
      <c r="G12" s="378"/>
      <c r="Q12" s="310">
        <v>62</v>
      </c>
    </row>
    <row customHeight="1" ht="24">
      <c r="A13" s="419"/>
      <c r="C13" s="323"/>
      <c r="D13" s="374" t="s">
        <v>1030</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1066</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1126</v>
      </c>
      <c r="F15" s="428"/>
      <c r="G15" s="2398"/>
      <c r="Q15" s="310">
        <v>15</v>
      </c>
    </row>
    <row customHeight="1" ht="14.699999999999998">
      <c r="A16" s="419"/>
      <c r="C16" s="323"/>
      <c r="D16" s="374" t="s">
        <v>1032</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5" t="s">
        <v>311</v>
      </c>
      <c r="G16" s="564"/>
      <c r="Q16" s="310">
        <v>14</v>
      </c>
    </row>
    <row customHeight="1" ht="14.699999999999998">
      <c r="A17" s="419"/>
      <c r="C17" s="323"/>
      <c r="D17" s="374" t="s">
        <v>1074</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10">
        <v>14</v>
      </c>
    </row>
    <row s="13141" customFormat="1" customHeight="1" ht="22.049999999999997">
      <c r="A18" s="570"/>
      <c r="B18" s="373"/>
      <c r="C18" s="534"/>
      <c r="D18" s="574"/>
      <c r="E18" s="576" t="s">
        <v>1127</v>
      </c>
      <c r="F18" s="565"/>
      <c r="G18" s="2398"/>
      <c r="I18" s="577"/>
      <c r="J18" s="577"/>
      <c r="Q18" s="569">
        <v>21</v>
      </c>
    </row>
    <row s="13141" customFormat="1" customHeight="1" ht="256.5" hidden="1">
      <c r="A19" s="570"/>
      <c r="B19" s="644"/>
      <c r="C19" s="603"/>
      <c r="D19" s="1111" t="s">
        <v>1034</v>
      </c>
      <c r="E19" s="1110" t="s">
        <v>1128</v>
      </c>
      <c r="F19" s="612"/>
      <c r="G19" s="564" t="s">
        <v>1129</v>
      </c>
      <c r="I19" s="727"/>
      <c r="J19" s="727"/>
      <c r="Q19" s="985">
        <v>0</v>
      </c>
    </row>
    <row s="13141" customFormat="1" customHeight="1" ht="14.699999999999998">
      <c r="A20" s="570"/>
      <c r="B20" s="373"/>
      <c r="C20" s="534"/>
      <c r="D20" s="1112">
        <v>2</v>
      </c>
      <c r="E20" s="557" t="s">
        <v>1130</v>
      </c>
      <c r="F20" s="425" t="s">
        <v>311</v>
      </c>
      <c r="G20" s="564"/>
      <c r="I20" s="577"/>
      <c r="J20" s="577"/>
      <c r="Q20" s="569">
        <v>14</v>
      </c>
    </row>
    <row s="13141" customFormat="1" customHeight="1" ht="18.75" hidden="1">
      <c r="A21" s="570"/>
      <c r="B21" s="373"/>
      <c r="C21" s="534"/>
      <c r="D21" s="560" t="s">
        <v>645</v>
      </c>
      <c r="E21" s="559"/>
      <c r="F21" s="558"/>
      <c r="G21" s="568"/>
      <c r="H21" s="561"/>
      <c r="I21" s="577"/>
      <c r="J21" s="577"/>
      <c r="Q21" s="569">
        <v>0</v>
      </c>
    </row>
    <row customHeight="1" ht="15.75">
      <c r="A22" s="419"/>
      <c r="C22" s="323"/>
      <c r="D22" s="336"/>
      <c r="E22" s="430" t="s">
        <v>327</v>
      </c>
      <c r="F22" s="565"/>
      <c r="G22" s="566"/>
      <c r="Q22" s="310">
        <v>15</v>
      </c>
    </row>
    <row s="13141" customFormat="1" customHeight="1" ht="22.5" hidden="1">
      <c r="A23" s="570"/>
      <c r="B23" s="1387"/>
      <c r="C23" s="603"/>
      <c r="D23" s="1900" t="s">
        <v>110</v>
      </c>
      <c r="E23" s="424" t="s">
        <v>1131</v>
      </c>
      <c r="F23" s="1897" t="s">
        <v>311</v>
      </c>
      <c r="G23" s="572"/>
      <c r="I23" s="1851"/>
      <c r="J23" s="1851"/>
      <c r="Q23" s="1858">
        <v>0</v>
      </c>
    </row>
    <row s="13141" customFormat="1" customHeight="1" ht="14.25" hidden="1">
      <c r="A24" s="570"/>
      <c r="B24" s="1387"/>
      <c r="C24" s="603"/>
      <c r="D24" s="1900" t="s">
        <v>717</v>
      </c>
      <c r="E24" s="1899" t="s">
        <v>1132</v>
      </c>
      <c r="F24" s="1897" t="s">
        <v>311</v>
      </c>
      <c r="G24" s="564"/>
      <c r="I24" s="1851"/>
      <c r="J24" s="1851"/>
      <c r="Q24" s="1858">
        <v>0</v>
      </c>
    </row>
    <row s="13141" customFormat="1" customHeight="1" ht="14.25" hidden="1">
      <c r="A25" s="570"/>
      <c r="B25" s="1387"/>
      <c r="C25" s="603"/>
      <c r="D25" s="1900" t="s">
        <v>720</v>
      </c>
      <c r="E25" s="422"/>
      <c r="F25" s="612"/>
      <c r="G25" s="2396" t="s">
        <v>1133</v>
      </c>
      <c r="I25" s="1851"/>
      <c r="J25" s="1851"/>
      <c r="Q25" s="1858">
        <v>0</v>
      </c>
    </row>
    <row s="13141" customFormat="1" customHeight="1" ht="22.5" hidden="1">
      <c r="A26" s="570"/>
      <c r="B26" s="1387"/>
      <c r="C26" s="603"/>
      <c r="D26" s="574"/>
      <c r="E26" s="576" t="s">
        <v>1134</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3A7C6-5A6E-6097-EB56-4984A9DAB2A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072" width="9.140625" hidden="1" customWidth="1"/>
    <col min="2" max="2" style="13221" width="9.140625" hidden="1" customWidth="1"/>
    <col min="3" max="3" style="14074" width="3.00390625" customWidth="1"/>
    <col min="4" max="4" style="13141" width="6.00390625" customWidth="1"/>
    <col min="5" max="5" style="13141" width="63.00390625" customWidth="1"/>
    <col min="6" max="6" style="13141" width="1.7109375" hidden="1" customWidth="1"/>
    <col min="7" max="8" style="13141" width="35.00390625" customWidth="1"/>
    <col min="9" max="9" style="13141" width="91.00390625" customWidth="1"/>
    <col min="10" max="10" style="13141" width="68.00390625" customWidth="1"/>
    <col min="11" max="12" style="13311" width="10.00390625" customWidth="1"/>
    <col min="13" max="13" style="13141" width="10.57421875" hidden="1"/>
  </cols>
  <sheetData>
    <row customHeight="1" ht="22.5" hidden="1">
      <c r="M1" s="310" t="s">
        <v>14</v>
      </c>
    </row>
    <row s="13141" customFormat="1" customHeight="1" ht="18.75" hidden="1">
      <c r="A2" s="1910"/>
      <c r="B2" s="1387"/>
      <c r="C2" s="1957" t="s">
        <v>491</v>
      </c>
      <c r="D2" s="1900"/>
      <c r="E2" s="426"/>
      <c r="F2" s="1897"/>
      <c r="G2" s="1897" t="s">
        <v>311</v>
      </c>
      <c r="H2" s="1388"/>
      <c r="K2" s="1851"/>
      <c r="L2" s="1851"/>
      <c r="M2" s="1858">
        <v>0</v>
      </c>
    </row>
    <row s="13141" customFormat="1" customHeight="1" ht="14.25" hidden="1">
      <c r="A3" s="1589"/>
      <c r="B3" s="1387"/>
      <c r="C3" s="571"/>
      <c r="K3" s="1851"/>
      <c r="L3" s="1851"/>
      <c r="M3" s="1858">
        <v>0</v>
      </c>
    </row>
    <row s="13141" customFormat="1" customHeight="1" ht="18.75" hidden="1">
      <c r="A4" s="1910"/>
      <c r="B4" s="1387"/>
      <c r="C4" s="1957" t="s">
        <v>491</v>
      </c>
      <c r="D4" s="1900"/>
      <c r="E4" s="432" t="s">
        <v>1135</v>
      </c>
      <c r="F4" s="1897"/>
      <c r="G4" s="484"/>
      <c r="H4" s="1897" t="s">
        <v>311</v>
      </c>
      <c r="K4" s="1851"/>
      <c r="L4" s="1851"/>
      <c r="M4" s="1858">
        <v>0</v>
      </c>
    </row>
    <row s="13141" customFormat="1" customHeight="1" ht="14.25" hidden="1">
      <c r="A5" s="1589"/>
      <c r="B5" s="1387"/>
      <c r="C5" s="571"/>
      <c r="K5" s="1851"/>
      <c r="L5" s="1851"/>
      <c r="M5" s="1858">
        <v>0</v>
      </c>
    </row>
    <row s="13141" customFormat="1" customHeight="1" ht="18.75" hidden="1">
      <c r="A6" s="1910"/>
      <c r="B6" s="1387"/>
      <c r="C6" s="1957" t="s">
        <v>491</v>
      </c>
      <c r="D6" s="1900"/>
      <c r="E6" s="433" t="s">
        <v>1136</v>
      </c>
      <c r="F6" s="1897"/>
      <c r="G6" s="484"/>
      <c r="H6" s="1897" t="s">
        <v>311</v>
      </c>
      <c r="K6" s="1851"/>
      <c r="L6" s="1851"/>
      <c r="M6" s="1858">
        <v>0</v>
      </c>
    </row>
    <row s="13141" customFormat="1" customHeight="1" ht="14.25" hidden="1">
      <c r="A7" s="1589"/>
      <c r="B7" s="1387"/>
      <c r="C7" s="571"/>
      <c r="K7" s="1851"/>
      <c r="L7" s="1851"/>
      <c r="M7" s="1858">
        <v>0</v>
      </c>
    </row>
    <row s="13141" customFormat="1" customHeight="1" ht="18.75" hidden="1">
      <c r="A8" s="1910"/>
      <c r="B8" s="1387"/>
      <c r="C8" s="1957" t="s">
        <v>491</v>
      </c>
      <c r="D8" s="1900"/>
      <c r="E8" s="433" t="s">
        <v>1137</v>
      </c>
      <c r="F8" s="1897"/>
      <c r="G8" s="484"/>
      <c r="H8" s="1897" t="s">
        <v>311</v>
      </c>
      <c r="K8" s="1851"/>
      <c r="L8" s="1851"/>
      <c r="M8" s="1858">
        <v>0</v>
      </c>
    </row>
    <row s="13141" customFormat="1" customHeight="1" ht="14.25" hidden="1">
      <c r="A9" s="1589"/>
      <c r="B9" s="1387"/>
      <c r="C9" s="571"/>
      <c r="K9" s="1851"/>
      <c r="L9" s="1851"/>
      <c r="M9" s="1858">
        <v>0</v>
      </c>
    </row>
    <row s="13141" customFormat="1" customHeight="1" ht="18.75" hidden="1">
      <c r="A10" s="1910"/>
      <c r="B10" s="1387"/>
      <c r="C10" s="1957" t="s">
        <v>491</v>
      </c>
      <c r="D10" s="1900"/>
      <c r="E10" s="433" t="s">
        <v>1138</v>
      </c>
      <c r="F10" s="1897"/>
      <c r="G10" s="1901"/>
      <c r="H10" s="1897" t="s">
        <v>311</v>
      </c>
      <c r="K10" s="1851"/>
      <c r="L10" s="1851" t="s">
        <v>1139</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82"/>
      <c r="F14" s="2682"/>
      <c r="G14" s="2682"/>
      <c r="H14" s="2683"/>
      <c r="J14" s="1858"/>
      <c r="M14" s="310">
        <v>28</v>
      </c>
    </row>
    <row s="13141" customFormat="1" customHeight="1" ht="14.699999999999998">
      <c r="A15" s="1589"/>
      <c r="B15" s="1387"/>
      <c r="C15" s="603"/>
      <c r="D15" s="2684" t="str">
        <f>IF(org=0,"Не определено",org)</f>
        <v>МУП "Уссурийск-Водоканал"</v>
      </c>
      <c r="E15" s="2685"/>
      <c r="F15" s="2685"/>
      <c r="G15" s="2685"/>
      <c r="H15" s="2686"/>
      <c r="J15" s="1079"/>
      <c r="K15" s="1851"/>
      <c r="L15" s="1851"/>
      <c r="M15" s="1858">
        <v>14</v>
      </c>
    </row>
    <row customHeight="1" ht="14.699999999999998">
      <c r="C16" s="323"/>
      <c r="D16" s="311"/>
      <c r="E16" s="322"/>
      <c r="F16" s="322"/>
      <c r="G16" s="322"/>
      <c r="H16" s="979"/>
      <c r="I16" s="420"/>
      <c r="M16" s="310">
        <v>14</v>
      </c>
    </row>
    <row s="13141"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88</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1140</v>
      </c>
      <c r="F21" s="2688"/>
      <c r="G21" s="2688"/>
      <c r="H21" s="2688"/>
      <c r="I21" s="435"/>
      <c r="M21" s="310">
        <v>14</v>
      </c>
    </row>
    <row customHeight="1" ht="21">
      <c r="A22" s="1910"/>
      <c r="C22" s="323"/>
      <c r="D22" s="374" t="s">
        <v>1030</v>
      </c>
      <c r="E22" s="421" t="s">
        <v>1141</v>
      </c>
      <c r="F22" s="425"/>
      <c r="G22" s="1964"/>
      <c r="H22" s="425" t="s">
        <v>311</v>
      </c>
      <c r="I22" s="378" t="s">
        <v>1142</v>
      </c>
      <c r="M22" s="310">
        <v>20</v>
      </c>
    </row>
    <row customHeight="1" ht="60">
      <c r="A23" s="1910"/>
      <c r="C23" s="323"/>
      <c r="D23" s="374" t="s">
        <v>1032</v>
      </c>
      <c r="E23" s="421" t="s">
        <v>1143</v>
      </c>
      <c r="F23" s="425"/>
      <c r="G23" s="484"/>
      <c r="H23" s="440"/>
      <c r="I23" s="485" t="s">
        <v>1144</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5"/>
      <c r="G24" s="425" t="s">
        <v>311</v>
      </c>
      <c r="H24" s="440"/>
      <c r="I24" s="486" t="s">
        <v>640</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329</v>
      </c>
      <c r="E26" s="426"/>
      <c r="F26" s="425"/>
      <c r="G26" s="425" t="s">
        <v>311</v>
      </c>
      <c r="H26" s="440"/>
      <c r="I26" s="2396" t="s">
        <v>1145</v>
      </c>
      <c r="M26" s="310">
        <v>14</v>
      </c>
    </row>
    <row customHeight="1" ht="15.75">
      <c r="A27" s="1910" t="s">
        <v>109</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87"/>
      <c r="G28" s="2687"/>
      <c r="H28" s="2687"/>
      <c r="I28" s="483"/>
      <c r="M28" s="310">
        <v>38</v>
      </c>
    </row>
    <row customHeight="1" ht="21">
      <c r="A29" s="1910"/>
      <c r="C29" s="323"/>
      <c r="D29" s="374" t="s">
        <v>762</v>
      </c>
      <c r="E29" s="432" t="s">
        <v>1135</v>
      </c>
      <c r="F29" s="425"/>
      <c r="G29" s="484"/>
      <c r="H29" s="425" t="s">
        <v>311</v>
      </c>
      <c r="I29" s="2396" t="s">
        <v>1146</v>
      </c>
      <c r="M29" s="310">
        <v>20</v>
      </c>
    </row>
    <row customHeight="1" ht="15.75">
      <c r="A30" s="1910" t="s">
        <v>110</v>
      </c>
      <c r="C30" s="323"/>
      <c r="D30" s="336"/>
      <c r="E30" s="430" t="s">
        <v>327</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87"/>
      <c r="G31" s="2687"/>
      <c r="H31" s="2687"/>
      <c r="I31" s="483"/>
      <c r="M31" s="310">
        <v>30</v>
      </c>
    </row>
    <row customHeight="1" ht="27.299999999999997">
      <c r="A32" s="1910"/>
      <c r="C32" s="323"/>
      <c r="D32" s="374" t="s">
        <v>318</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30"/>
      <c r="G32" s="2630"/>
      <c r="H32" s="2630"/>
      <c r="I32" s="483"/>
      <c r="M32" s="310">
        <v>26</v>
      </c>
    </row>
    <row customHeight="1" ht="14.699999999999998">
      <c r="A33" s="1910"/>
      <c r="C33" s="323"/>
      <c r="D33" s="374" t="s">
        <v>1147</v>
      </c>
      <c r="E33" s="433" t="s">
        <v>1136</v>
      </c>
      <c r="F33" s="425"/>
      <c r="G33" s="484"/>
      <c r="H33" s="425" t="s">
        <v>311</v>
      </c>
      <c r="I33" s="2396" t="s">
        <v>1148</v>
      </c>
      <c r="M33" s="310">
        <v>14</v>
      </c>
    </row>
    <row customHeight="1" ht="15.75">
      <c r="A34" s="1910" t="s">
        <v>90</v>
      </c>
      <c r="C34" s="323"/>
      <c r="D34" s="336"/>
      <c r="E34" s="431" t="s">
        <v>327</v>
      </c>
      <c r="F34" s="427"/>
      <c r="G34" s="427"/>
      <c r="H34" s="428"/>
      <c r="I34" s="2398"/>
      <c r="M34" s="310">
        <v>15</v>
      </c>
    </row>
    <row customHeight="1" ht="25.2">
      <c r="A35" s="1910"/>
      <c r="C35" s="323"/>
      <c r="D35" s="374" t="s">
        <v>890</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30"/>
      <c r="G35" s="2630"/>
      <c r="H35" s="2630"/>
      <c r="I35" s="483"/>
      <c r="M35" s="310">
        <v>24</v>
      </c>
    </row>
    <row customHeight="1" ht="14.699999999999998">
      <c r="A36" s="1910"/>
      <c r="C36" s="323"/>
      <c r="D36" s="374" t="s">
        <v>1149</v>
      </c>
      <c r="E36" s="433" t="s">
        <v>1137</v>
      </c>
      <c r="F36" s="425"/>
      <c r="G36" s="484"/>
      <c r="H36" s="425" t="s">
        <v>311</v>
      </c>
      <c r="I36" s="2370" t="s">
        <v>1150</v>
      </c>
      <c r="M36" s="310">
        <v>14</v>
      </c>
    </row>
    <row customHeight="1" ht="15.75">
      <c r="A37" s="1910" t="s">
        <v>91</v>
      </c>
      <c r="C37" s="323"/>
      <c r="D37" s="336"/>
      <c r="E37" s="431" t="s">
        <v>327</v>
      </c>
      <c r="F37" s="427"/>
      <c r="G37" s="427"/>
      <c r="H37" s="428"/>
      <c r="I37" s="2370"/>
      <c r="M37" s="310">
        <v>15</v>
      </c>
    </row>
    <row customHeight="1" ht="27.299999999999997">
      <c r="A38" s="1910"/>
      <c r="C38" s="323"/>
      <c r="D38" s="374" t="s">
        <v>891</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30"/>
      <c r="G38" s="2630"/>
      <c r="H38" s="2630"/>
      <c r="I38" s="483"/>
      <c r="M38" s="310">
        <v>26</v>
      </c>
    </row>
    <row customHeight="1" ht="14.699999999999998">
      <c r="A39" s="1910"/>
      <c r="C39" s="323"/>
      <c r="D39" s="374" t="s">
        <v>892</v>
      </c>
      <c r="E39" s="433" t="s">
        <v>1138</v>
      </c>
      <c r="F39" s="425"/>
      <c r="G39" s="434"/>
      <c r="H39" s="425" t="s">
        <v>311</v>
      </c>
      <c r="I39" s="2396" t="s">
        <v>1151</v>
      </c>
      <c r="L39" s="382" t="s">
        <v>1139</v>
      </c>
      <c r="M39" s="310">
        <v>14</v>
      </c>
    </row>
    <row customHeight="1" ht="15.75">
      <c r="A40" s="1910" t="s">
        <v>111</v>
      </c>
      <c r="C40" s="323"/>
      <c r="D40" s="336"/>
      <c r="E40" s="431" t="s">
        <v>327</v>
      </c>
      <c r="F40" s="427"/>
      <c r="G40" s="427"/>
      <c r="H40" s="428"/>
      <c r="I40" s="2398"/>
      <c r="M40" s="310">
        <v>15</v>
      </c>
    </row>
    <row s="15802" customFormat="1" customHeight="1" ht="3">
      <c r="A41" s="1910"/>
      <c r="K41" s="423"/>
      <c r="L41" s="423"/>
      <c r="M41" s="367">
        <v>3</v>
      </c>
    </row>
    <row customHeight="1" ht="26.25">
      <c r="D42" s="1908" t="s">
        <v>812</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16167-F499-F503-DBD1-501F317A1129}" mc:Ignorable="x14ac xr xr2 xr3">
  <sheetPr>
    <tabColor theme="6" tint="0.4"/>
  </sheetPr>
  <dimension ref="A1:AH350"/>
  <sheetViews>
    <sheetView topLeftCell="D13" showGridLines="0" zoomScale="90" workbookViewId="0" tabSelected="1">
      <selection activeCell="M315" sqref="M315"/>
    </sheetView>
  </sheetViews>
  <sheetFormatPr defaultColWidth="10.57421875" customHeight="1" defaultRowHeight="14.25"/>
  <cols>
    <col min="1" max="2" style="15859" width="25.140625" hidden="1" customWidth="1"/>
    <col min="3" max="3" style="15860" width="9.140625" hidden="1" customWidth="1"/>
    <col min="4" max="4" style="14074" width="3.00390625" customWidth="1"/>
    <col min="5" max="5" style="13141" width="6.00390625" customWidth="1"/>
    <col min="6" max="6" style="13141" width="46.7109375" customWidth="1"/>
    <col min="7" max="7" style="13141" width="35.00390625" customWidth="1"/>
    <col min="8" max="8" style="13141" width="3.00390625" customWidth="1"/>
    <col min="9" max="9" style="13141" width="11.00390625" customWidth="1"/>
    <col min="10" max="10" style="13141" width="12.8515625" customWidth="1"/>
    <col min="11" max="12" style="13141" width="35.00390625" customWidth="1"/>
    <col min="13" max="13" style="13141" width="84.00390625" customWidth="1"/>
    <col min="14" max="14" style="13141" width="10.00390625" customWidth="1"/>
    <col min="15" max="16" style="13311" width="10.00390625" customWidth="1"/>
    <col min="17" max="33" style="13141" width="10.00390625" customWidth="1"/>
    <col min="34" max="34" style="13141" width="10.57421875" hidden="1"/>
  </cols>
  <sheetData>
    <row s="13141"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3141"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3141" customFormat="1" customHeight="1" ht="18.75" hidden="1">
      <c r="A3" s="2007"/>
      <c r="B3" s="2007"/>
      <c r="C3" s="596" t="s">
        <v>1152</v>
      </c>
      <c r="D3" s="571"/>
      <c r="E3" s="1258"/>
      <c r="F3" s="1258"/>
      <c r="G3" s="2654"/>
      <c r="H3" s="1727"/>
      <c r="I3" s="878" t="s">
        <v>1153</v>
      </c>
      <c r="J3" s="798"/>
      <c r="K3" s="1727"/>
      <c r="L3" s="441"/>
      <c r="M3" s="2102"/>
      <c r="N3" s="561"/>
      <c r="O3" s="1851"/>
      <c r="P3" s="1851"/>
      <c r="AH3" s="1858">
        <v>0</v>
      </c>
    </row>
    <row s="13141"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3141"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3141" customFormat="1" customHeight="1" ht="18.75" hidden="1">
      <c r="A6" s="2007"/>
      <c r="B6" s="2007"/>
      <c r="C6" s="596" t="s">
        <v>1154</v>
      </c>
      <c r="D6" s="571"/>
      <c r="E6" s="1258"/>
      <c r="F6" s="1258"/>
      <c r="G6" s="2654"/>
      <c r="H6" s="1727"/>
      <c r="I6" s="878" t="s">
        <v>1153</v>
      </c>
      <c r="J6" s="798"/>
      <c r="K6" s="1727"/>
      <c r="L6" s="441"/>
      <c r="M6" s="2102"/>
      <c r="N6" s="561"/>
      <c r="O6" s="1851"/>
      <c r="P6" s="1851"/>
      <c r="AH6" s="1858">
        <v>0</v>
      </c>
    </row>
    <row s="13141"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3141"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3141"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изменении тарифов</v>
      </c>
      <c r="G16" s="2491" t="str">
        <f>IF(TITLE_DATE_PR_CHANGE="",IF(TITLE_DATE_PR="","",TITLE_DATE_PR),TITLE_DATE_PR_CHANGE)</f>
        <v>45408</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изменении тарифов</v>
      </c>
      <c r="G17" s="2478" t="str">
        <f>IF(TITLE_NUMBER_PR_CHANGE="",IF(TITLE_NUMBER_PR="","",TITLE_NUMBER_PR),TITLE_NUMBER_PR_CHANGE)</f>
        <v>27-2085</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88</v>
      </c>
      <c r="F20" s="2451" t="s">
        <v>122</v>
      </c>
      <c r="G20" s="2451" t="s">
        <v>123</v>
      </c>
      <c r="H20" s="2613" t="s">
        <v>1155</v>
      </c>
      <c r="I20" s="2614"/>
      <c r="J20" s="2660"/>
      <c r="K20" s="2451" t="s">
        <v>308</v>
      </c>
      <c r="L20" s="2451" t="s">
        <v>395</v>
      </c>
      <c r="M20" s="2616"/>
      <c r="AH20" s="601">
        <v>21</v>
      </c>
    </row>
    <row customHeight="1" ht="22.049999999999997">
      <c r="D21" s="603"/>
      <c r="E21" s="2506"/>
      <c r="F21" s="2452"/>
      <c r="G21" s="2452"/>
      <c r="H21" s="2445" t="s">
        <v>1156</v>
      </c>
      <c r="I21" s="2447"/>
      <c r="J21" s="335" t="s">
        <v>1157</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311</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3141" customFormat="1" customHeight="1" ht="18.75" hidden="1">
      <c r="A25" s="2007"/>
      <c r="B25" s="2007"/>
      <c r="C25" s="596" t="s">
        <v>1152</v>
      </c>
      <c r="D25" s="2693"/>
      <c r="E25" s="2431"/>
      <c r="F25" s="2697"/>
      <c r="G25" s="2654"/>
      <c r="H25" s="1727"/>
      <c r="I25" s="878" t="s">
        <v>1153</v>
      </c>
      <c r="J25" s="798"/>
      <c r="K25" s="1727"/>
      <c r="L25" s="441"/>
      <c r="M25" s="2397"/>
      <c r="N25" s="561"/>
      <c r="O25" s="1851"/>
      <c r="P25" s="1851"/>
      <c r="AH25" s="1858">
        <v>0</v>
      </c>
    </row>
    <row customHeight="1" ht="0.75" hidden="1">
      <c r="A26" s="2007"/>
      <c r="B26" s="2007"/>
      <c r="C26" s="596" t="s">
        <v>1158</v>
      </c>
      <c r="D26" s="2693"/>
      <c r="E26" s="2431"/>
      <c r="F26" s="2610"/>
      <c r="G26" s="627"/>
      <c r="H26" s="1727"/>
      <c r="I26" s="622"/>
      <c r="J26" s="576"/>
      <c r="K26" s="1727"/>
      <c r="L26" s="428"/>
      <c r="M26" s="2397"/>
      <c r="N26" s="561"/>
      <c r="AH26" s="601">
        <v>0</v>
      </c>
    </row>
    <row s="13141" customFormat="1" customHeight="1" ht="45" hidden="1">
      <c r="A27" s="2007" t="s">
        <v>160</v>
      </c>
      <c r="B27" s="2007" t="s">
        <v>161</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311</v>
      </c>
      <c r="M27" s="2397"/>
      <c r="N27" s="561"/>
      <c r="O27" s="1851"/>
      <c r="P27" s="1851"/>
      <c r="AH27" s="1858">
        <v>0</v>
      </c>
    </row>
    <row s="13141" customFormat="1" customHeight="1" ht="18.75" hidden="1">
      <c r="A28" s="2007"/>
      <c r="B28" s="2007"/>
      <c r="C28" s="596" t="s">
        <v>1152</v>
      </c>
      <c r="D28" s="2689"/>
      <c r="E28" s="2690"/>
      <c r="F28" s="2691"/>
      <c r="G28" s="2654"/>
      <c r="H28" s="1727"/>
      <c r="I28" s="878" t="s">
        <v>1153</v>
      </c>
      <c r="J28" s="798"/>
      <c r="K28" s="1727"/>
      <c r="L28" s="441"/>
      <c r="M28" s="2397"/>
      <c r="N28" s="561"/>
      <c r="O28" s="1851"/>
      <c r="P28" s="1851"/>
      <c r="AH28" s="1858">
        <v>0</v>
      </c>
    </row>
    <row s="13141" customFormat="1" customHeight="1" ht="0.75" hidden="1">
      <c r="A29" s="2007"/>
      <c r="B29" s="2007"/>
      <c r="C29" s="596" t="s">
        <v>1158</v>
      </c>
      <c r="D29" s="2689"/>
      <c r="E29" s="2431"/>
      <c r="F29" s="2610"/>
      <c r="G29" s="627"/>
      <c r="H29" s="1727"/>
      <c r="I29" s="878"/>
      <c r="J29" s="798"/>
      <c r="K29" s="1727"/>
      <c r="L29" s="441"/>
      <c r="M29" s="2397"/>
      <c r="N29" s="561"/>
      <c r="O29" s="1851"/>
      <c r="P29" s="1851"/>
      <c r="AH29" s="1858">
        <v>0</v>
      </c>
    </row>
    <row s="13141"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3141" customFormat="1" customHeight="1" ht="18.75" hidden="1">
      <c r="A31" s="2007"/>
      <c r="B31" s="2007"/>
      <c r="C31" s="596" t="s">
        <v>1152</v>
      </c>
      <c r="D31" s="2689"/>
      <c r="E31" s="2431"/>
      <c r="F31" s="2610"/>
      <c r="G31" s="2654"/>
      <c r="H31" s="1727"/>
      <c r="I31" s="878" t="s">
        <v>1153</v>
      </c>
      <c r="J31" s="798"/>
      <c r="K31" s="1727"/>
      <c r="L31" s="441"/>
      <c r="M31" s="2397"/>
      <c r="N31" s="561"/>
      <c r="O31" s="1851"/>
      <c r="P31" s="1851"/>
      <c r="AH31" s="1858">
        <v>0</v>
      </c>
    </row>
    <row s="13141" customFormat="1" customHeight="1" ht="0.75" hidden="1">
      <c r="A32" s="2007"/>
      <c r="B32" s="2007"/>
      <c r="C32" s="596" t="s">
        <v>1158</v>
      </c>
      <c r="D32" s="2689"/>
      <c r="E32" s="2431"/>
      <c r="F32" s="2610"/>
      <c r="G32" s="627"/>
      <c r="H32" s="1727"/>
      <c r="I32" s="878"/>
      <c r="J32" s="798"/>
      <c r="K32" s="1727"/>
      <c r="L32" s="441"/>
      <c r="M32" s="2397"/>
      <c r="N32" s="561"/>
      <c r="O32" s="1851"/>
      <c r="P32" s="1851"/>
      <c r="AH32" s="1858">
        <v>0</v>
      </c>
    </row>
    <row s="13141"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3141" customFormat="1" customHeight="1" ht="18.75" hidden="1">
      <c r="A34" s="2007"/>
      <c r="B34" s="2007"/>
      <c r="C34" s="596" t="s">
        <v>1152</v>
      </c>
      <c r="D34" s="2689"/>
      <c r="E34" s="2431"/>
      <c r="F34" s="2610"/>
      <c r="G34" s="2654"/>
      <c r="H34" s="1727"/>
      <c r="I34" s="878" t="s">
        <v>1153</v>
      </c>
      <c r="J34" s="798"/>
      <c r="K34" s="1727"/>
      <c r="L34" s="441"/>
      <c r="M34" s="2397"/>
      <c r="N34" s="561"/>
      <c r="O34" s="1851"/>
      <c r="P34" s="1851"/>
      <c r="AH34" s="1858">
        <v>0</v>
      </c>
    </row>
    <row s="13141" customFormat="1" customHeight="1" ht="0.75" hidden="1">
      <c r="A35" s="2007"/>
      <c r="B35" s="2007"/>
      <c r="C35" s="596" t="s">
        <v>1158</v>
      </c>
      <c r="D35" s="2689"/>
      <c r="E35" s="2431"/>
      <c r="F35" s="2610"/>
      <c r="G35" s="627"/>
      <c r="H35" s="1727"/>
      <c r="I35" s="878"/>
      <c r="J35" s="798"/>
      <c r="K35" s="1727"/>
      <c r="L35" s="441"/>
      <c r="M35" s="2397"/>
      <c r="N35" s="561"/>
      <c r="O35" s="1851"/>
      <c r="P35" s="1851"/>
      <c r="AH35" s="1858">
        <v>0</v>
      </c>
    </row>
    <row s="13141"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3141" customFormat="1" customHeight="1" ht="18.75" hidden="1">
      <c r="A37" s="2007"/>
      <c r="B37" s="2007"/>
      <c r="C37" s="596" t="s">
        <v>1152</v>
      </c>
      <c r="D37" s="2689"/>
      <c r="E37" s="2431"/>
      <c r="F37" s="2610"/>
      <c r="G37" s="2654"/>
      <c r="H37" s="1727"/>
      <c r="I37" s="878" t="s">
        <v>1153</v>
      </c>
      <c r="J37" s="798"/>
      <c r="K37" s="1727"/>
      <c r="L37" s="441"/>
      <c r="M37" s="2397"/>
      <c r="N37" s="561"/>
      <c r="O37" s="1851"/>
      <c r="P37" s="1851"/>
      <c r="AH37" s="1858">
        <v>0</v>
      </c>
    </row>
    <row s="13141" customFormat="1" customHeight="1" ht="0.75" hidden="1">
      <c r="A38" s="2007"/>
      <c r="B38" s="2007"/>
      <c r="C38" s="596" t="s">
        <v>1158</v>
      </c>
      <c r="D38" s="2689"/>
      <c r="E38" s="2431"/>
      <c r="F38" s="2610"/>
      <c r="G38" s="627"/>
      <c r="H38" s="1727"/>
      <c r="I38" s="878"/>
      <c r="J38" s="798"/>
      <c r="K38" s="1727"/>
      <c r="L38" s="441"/>
      <c r="M38" s="2397"/>
      <c r="N38" s="561"/>
      <c r="O38" s="1851"/>
      <c r="P38" s="1851"/>
      <c r="AH38" s="1858">
        <v>0</v>
      </c>
    </row>
    <row s="13141"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3141" customFormat="1" customHeight="1" ht="18.75" hidden="1">
      <c r="A40" s="2007"/>
      <c r="B40" s="2007"/>
      <c r="C40" s="596" t="s">
        <v>1152</v>
      </c>
      <c r="D40" s="2689"/>
      <c r="E40" s="2431"/>
      <c r="F40" s="2610"/>
      <c r="G40" s="2654"/>
      <c r="H40" s="1727"/>
      <c r="I40" s="878" t="s">
        <v>1153</v>
      </c>
      <c r="J40" s="798"/>
      <c r="K40" s="1727"/>
      <c r="L40" s="441"/>
      <c r="M40" s="2397"/>
      <c r="N40" s="561"/>
      <c r="O40" s="1851"/>
      <c r="P40" s="1851"/>
      <c r="AH40" s="1858">
        <v>0</v>
      </c>
    </row>
    <row s="13141" customFormat="1" customHeight="1" ht="0.75" hidden="1">
      <c r="A41" s="2007"/>
      <c r="B41" s="2007"/>
      <c r="C41" s="596" t="s">
        <v>1158</v>
      </c>
      <c r="D41" s="2689"/>
      <c r="E41" s="2431"/>
      <c r="F41" s="2610"/>
      <c r="G41" s="627"/>
      <c r="H41" s="1727"/>
      <c r="I41" s="878"/>
      <c r="J41" s="798"/>
      <c r="K41" s="1727"/>
      <c r="L41" s="441"/>
      <c r="M41" s="2397"/>
      <c r="N41" s="561"/>
      <c r="O41" s="1851"/>
      <c r="P41" s="1851"/>
      <c r="AH41" s="1858">
        <v>0</v>
      </c>
    </row>
    <row s="13141"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3141" customFormat="1" customHeight="1" ht="18.75" hidden="1">
      <c r="A43" s="2007"/>
      <c r="B43" s="2007"/>
      <c r="C43" s="596" t="s">
        <v>1152</v>
      </c>
      <c r="D43" s="2689"/>
      <c r="E43" s="2431"/>
      <c r="F43" s="2610"/>
      <c r="G43" s="2654"/>
      <c r="H43" s="1727"/>
      <c r="I43" s="878" t="s">
        <v>1153</v>
      </c>
      <c r="J43" s="798"/>
      <c r="K43" s="1727"/>
      <c r="L43" s="441"/>
      <c r="M43" s="2397"/>
      <c r="N43" s="561"/>
      <c r="O43" s="1851"/>
      <c r="P43" s="1851"/>
      <c r="AH43" s="1858">
        <v>0</v>
      </c>
    </row>
    <row s="13141" customFormat="1" customHeight="1" ht="0.75" hidden="1">
      <c r="A44" s="2007"/>
      <c r="B44" s="2007"/>
      <c r="C44" s="596" t="s">
        <v>1158</v>
      </c>
      <c r="D44" s="2689"/>
      <c r="E44" s="2431"/>
      <c r="F44" s="2610"/>
      <c r="G44" s="627"/>
      <c r="H44" s="1727"/>
      <c r="I44" s="878"/>
      <c r="J44" s="798"/>
      <c r="K44" s="1727"/>
      <c r="L44" s="441"/>
      <c r="M44" s="2397"/>
      <c r="N44" s="561"/>
      <c r="O44" s="1851"/>
      <c r="P44" s="1851"/>
      <c r="AH44" s="1858">
        <v>0</v>
      </c>
    </row>
    <row s="13141"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3141" customFormat="1" customHeight="1" ht="18.75" hidden="1">
      <c r="A46" s="2007"/>
      <c r="B46" s="2007"/>
      <c r="C46" s="596" t="s">
        <v>1152</v>
      </c>
      <c r="D46" s="2689"/>
      <c r="E46" s="2431"/>
      <c r="F46" s="2610"/>
      <c r="G46" s="2654"/>
      <c r="H46" s="1727"/>
      <c r="I46" s="878" t="s">
        <v>1153</v>
      </c>
      <c r="J46" s="798"/>
      <c r="K46" s="1727"/>
      <c r="L46" s="441"/>
      <c r="M46" s="2397"/>
      <c r="N46" s="561"/>
      <c r="O46" s="1851"/>
      <c r="P46" s="1851"/>
      <c r="AH46" s="1858">
        <v>0</v>
      </c>
    </row>
    <row s="13141" customFormat="1" customHeight="1" ht="0.75" hidden="1">
      <c r="A47" s="2007"/>
      <c r="B47" s="2007"/>
      <c r="C47" s="596" t="s">
        <v>1158</v>
      </c>
      <c r="D47" s="2689"/>
      <c r="E47" s="2431"/>
      <c r="F47" s="2610"/>
      <c r="G47" s="627"/>
      <c r="H47" s="1727"/>
      <c r="I47" s="878"/>
      <c r="J47" s="798"/>
      <c r="K47" s="1727"/>
      <c r="L47" s="441"/>
      <c r="M47" s="2397"/>
      <c r="N47" s="561"/>
      <c r="O47" s="1851"/>
      <c r="P47" s="1851"/>
      <c r="AH47" s="1858">
        <v>0</v>
      </c>
    </row>
    <row s="13141" customFormat="1" customHeight="1" ht="18.75" hidden="1">
      <c r="A48" s="2007" t="s">
        <v>203</v>
      </c>
      <c r="B48" s="2007" t="s">
        <v>204</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311</v>
      </c>
      <c r="M48" s="2397"/>
      <c r="N48" s="561"/>
      <c r="O48" s="1851"/>
      <c r="P48" s="1851"/>
      <c r="AH48" s="1858">
        <v>0</v>
      </c>
    </row>
    <row s="13141" customFormat="1" customHeight="1" ht="18.75" hidden="1">
      <c r="A49" s="2007"/>
      <c r="B49" s="2007"/>
      <c r="C49" s="596" t="s">
        <v>1152</v>
      </c>
      <c r="D49" s="2689"/>
      <c r="E49" s="2431"/>
      <c r="F49" s="2610"/>
      <c r="G49" s="2654"/>
      <c r="H49" s="1727"/>
      <c r="I49" s="878" t="s">
        <v>1153</v>
      </c>
      <c r="J49" s="798"/>
      <c r="K49" s="1727"/>
      <c r="L49" s="441"/>
      <c r="M49" s="2397"/>
      <c r="N49" s="561"/>
      <c r="O49" s="1851"/>
      <c r="P49" s="1851"/>
      <c r="AH49" s="1858">
        <v>0</v>
      </c>
    </row>
    <row s="13141" customFormat="1" customHeight="1" ht="0.75" hidden="1">
      <c r="A50" s="2007"/>
      <c r="B50" s="2007"/>
      <c r="C50" s="596" t="s">
        <v>1158</v>
      </c>
      <c r="D50" s="2689"/>
      <c r="E50" s="2431"/>
      <c r="F50" s="2610"/>
      <c r="G50" s="627"/>
      <c r="H50" s="1727"/>
      <c r="I50" s="878"/>
      <c r="J50" s="798"/>
      <c r="K50" s="1727"/>
      <c r="L50" s="441"/>
      <c r="M50" s="2397"/>
      <c r="N50" s="561"/>
      <c r="O50" s="1851"/>
      <c r="P50" s="1851"/>
      <c r="AH50" s="1858">
        <v>0</v>
      </c>
    </row>
    <row s="13141" customFormat="1" customHeight="1" ht="18.75">
      <c r="A51" s="2007" t="s">
        <v>225</v>
      </c>
      <c r="B51" s="2007" t="s">
        <v>226</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Тариф  на  холодную  воду  питьевую</v>
      </c>
      <c r="H51" s="2089"/>
      <c r="I51" s="8886">
        <v>45292</v>
      </c>
      <c r="J51" s="8887">
        <v>47118</v>
      </c>
      <c r="K51" s="2092" t="s">
        <v>1159</v>
      </c>
      <c r="L51" s="2089" t="s">
        <v>311</v>
      </c>
      <c r="M51" s="2397"/>
      <c r="N51" s="561"/>
      <c r="O51" s="1851"/>
      <c r="P51" s="1851"/>
      <c r="AH51" s="1858">
        <v>0</v>
      </c>
    </row>
    <row s="13141" customFormat="1" customHeight="1" ht="18.75">
      <c r="A52" s="2007"/>
      <c r="B52" s="2007"/>
      <c r="C52" s="596" t="s">
        <v>1152</v>
      </c>
      <c r="D52" s="2689"/>
      <c r="E52" s="2431"/>
      <c r="F52" s="2610"/>
      <c r="G52" s="2654"/>
      <c r="H52" s="1727"/>
      <c r="I52" s="878" t="s">
        <v>1153</v>
      </c>
      <c r="J52" s="798"/>
      <c r="K52" s="1727"/>
      <c r="L52" s="441"/>
      <c r="M52" s="2397"/>
      <c r="N52" s="561"/>
      <c r="O52" s="1851"/>
      <c r="P52" s="1851"/>
      <c r="AH52" s="1858">
        <v>0</v>
      </c>
    </row>
    <row s="13141" customFormat="1" customHeight="1" ht="0.75">
      <c r="A53" s="2007"/>
      <c r="B53" s="2007"/>
      <c r="C53" s="596" t="s">
        <v>1158</v>
      </c>
      <c r="D53" s="2689"/>
      <c r="E53" s="2431"/>
      <c r="F53" s="2610"/>
      <c r="G53" s="627"/>
      <c r="H53" s="1727"/>
      <c r="I53" s="878"/>
      <c r="J53" s="798"/>
      <c r="K53" s="1727"/>
      <c r="L53" s="441"/>
      <c r="M53" s="2397"/>
      <c r="N53" s="561"/>
      <c r="O53" s="1851"/>
      <c r="P53" s="1851"/>
      <c r="AH53" s="1858">
        <v>0</v>
      </c>
    </row>
    <row s="13141" customFormat="1" customHeight="1" ht="18.75">
      <c r="A54" s="2007" t="s">
        <v>235</v>
      </c>
      <c r="B54" s="2007" t="s">
        <v>236</v>
      </c>
      <c r="C54" s="596"/>
      <c r="D54" s="2689"/>
      <c r="E54" s="2431"/>
      <c r="F54" s="2610" t="str">
        <f>INDEX(PT_DIFFERENTIATION_VTAR,MATCH(A54,PT_DIFFERENTIATION_VTAR_ID,0))</f>
        <v>Тариф на техническую воду</v>
      </c>
      <c r="G54" s="2654" t="str">
        <f>INDEX(PT_DIFFERENTIATION_NTAR,MATCH(B54,PT_DIFFERENTIATION_NTAR_ID,0))</f>
        <v>Тариф  на  техническую  воду</v>
      </c>
      <c r="H54" s="2089"/>
      <c r="I54" s="8886">
        <v>45292</v>
      </c>
      <c r="J54" s="8887">
        <v>47118</v>
      </c>
      <c r="K54" s="2092" t="s">
        <v>1159</v>
      </c>
      <c r="L54" s="2089" t="s">
        <v>311</v>
      </c>
      <c r="M54" s="2397"/>
      <c r="N54" s="561"/>
      <c r="O54" s="1851"/>
      <c r="P54" s="1851"/>
      <c r="AH54" s="1858">
        <v>0</v>
      </c>
    </row>
    <row s="13141" customFormat="1" customHeight="1" ht="18.75">
      <c r="A55" s="2007"/>
      <c r="B55" s="2007"/>
      <c r="C55" s="596" t="s">
        <v>1152</v>
      </c>
      <c r="D55" s="2689"/>
      <c r="E55" s="2431"/>
      <c r="F55" s="2610"/>
      <c r="G55" s="2654"/>
      <c r="H55" s="1727"/>
      <c r="I55" s="878" t="s">
        <v>1153</v>
      </c>
      <c r="J55" s="798"/>
      <c r="K55" s="1727"/>
      <c r="L55" s="441"/>
      <c r="M55" s="2397"/>
      <c r="N55" s="561"/>
      <c r="O55" s="1851"/>
      <c r="P55" s="1851"/>
      <c r="AH55" s="1858">
        <v>0</v>
      </c>
    </row>
    <row s="13141" customFormat="1" customHeight="1" ht="0.75">
      <c r="A56" s="2007"/>
      <c r="B56" s="2007"/>
      <c r="C56" s="596" t="s">
        <v>1158</v>
      </c>
      <c r="D56" s="2689"/>
      <c r="E56" s="2431"/>
      <c r="F56" s="2610"/>
      <c r="G56" s="627"/>
      <c r="H56" s="1727"/>
      <c r="I56" s="878"/>
      <c r="J56" s="798"/>
      <c r="K56" s="1727"/>
      <c r="L56" s="441"/>
      <c r="M56" s="2397"/>
      <c r="N56" s="561"/>
      <c r="O56" s="1851"/>
      <c r="P56" s="1851"/>
      <c r="AH56" s="1858">
        <v>0</v>
      </c>
    </row>
    <row s="13141" customFormat="1" customHeight="1" ht="18.75" hidden="1">
      <c r="A57" s="2007" t="s">
        <v>240</v>
      </c>
      <c r="B57" s="2007" t="s">
        <v>241</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3141" customFormat="1" customHeight="1" ht="18.75" hidden="1">
      <c r="A58" s="2007"/>
      <c r="B58" s="2007"/>
      <c r="C58" s="596" t="s">
        <v>1152</v>
      </c>
      <c r="D58" s="2689"/>
      <c r="E58" s="2431"/>
      <c r="F58" s="2610"/>
      <c r="G58" s="2654"/>
      <c r="H58" s="1727"/>
      <c r="I58" s="878" t="s">
        <v>1153</v>
      </c>
      <c r="J58" s="798"/>
      <c r="K58" s="1727"/>
      <c r="L58" s="441"/>
      <c r="M58" s="2397"/>
      <c r="N58" s="561"/>
      <c r="O58" s="1851"/>
      <c r="P58" s="1851"/>
      <c r="AH58" s="1858">
        <v>0</v>
      </c>
    </row>
    <row s="13141" customFormat="1" customHeight="1" ht="0.75" hidden="1">
      <c r="A59" s="2007"/>
      <c r="B59" s="2007"/>
      <c r="C59" s="596" t="s">
        <v>1158</v>
      </c>
      <c r="D59" s="2689"/>
      <c r="E59" s="2431"/>
      <c r="F59" s="2610"/>
      <c r="G59" s="627"/>
      <c r="H59" s="1727"/>
      <c r="I59" s="878"/>
      <c r="J59" s="798"/>
      <c r="K59" s="1727"/>
      <c r="L59" s="441"/>
      <c r="M59" s="2397"/>
      <c r="N59" s="561"/>
      <c r="O59" s="1851"/>
      <c r="P59" s="1851"/>
      <c r="AH59" s="1858">
        <v>0</v>
      </c>
    </row>
    <row s="13141" customFormat="1" customHeight="1" ht="18.75" hidden="1">
      <c r="A60" s="2007" t="s">
        <v>245</v>
      </c>
      <c r="B60" s="2007" t="s">
        <v>246</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3141" customFormat="1" customHeight="1" ht="18.75" hidden="1">
      <c r="A61" s="2007"/>
      <c r="B61" s="2007"/>
      <c r="C61" s="596" t="s">
        <v>1152</v>
      </c>
      <c r="D61" s="2689"/>
      <c r="E61" s="2431"/>
      <c r="F61" s="2610"/>
      <c r="G61" s="2654"/>
      <c r="H61" s="1727"/>
      <c r="I61" s="878" t="s">
        <v>1153</v>
      </c>
      <c r="J61" s="798"/>
      <c r="K61" s="1727"/>
      <c r="L61" s="441"/>
      <c r="M61" s="2397"/>
      <c r="N61" s="561"/>
      <c r="O61" s="1851"/>
      <c r="P61" s="1851"/>
      <c r="AH61" s="1858">
        <v>0</v>
      </c>
    </row>
    <row s="13141" customFormat="1" customHeight="1" ht="0.75" hidden="1">
      <c r="A62" s="2007"/>
      <c r="B62" s="2007"/>
      <c r="C62" s="596" t="s">
        <v>1158</v>
      </c>
      <c r="D62" s="2689"/>
      <c r="E62" s="2431"/>
      <c r="F62" s="2610"/>
      <c r="G62" s="627"/>
      <c r="H62" s="1727"/>
      <c r="I62" s="878"/>
      <c r="J62" s="798"/>
      <c r="K62" s="1727"/>
      <c r="L62" s="441"/>
      <c r="M62" s="2397"/>
      <c r="N62" s="561"/>
      <c r="O62" s="1851"/>
      <c r="P62" s="1851"/>
      <c r="AH62" s="1858">
        <v>0</v>
      </c>
    </row>
    <row s="13141" customFormat="1" customHeight="1" ht="18.75" hidden="1">
      <c r="A63" s="2007" t="s">
        <v>250</v>
      </c>
      <c r="B63" s="2007" t="s">
        <v>251</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3141" customFormat="1" customHeight="1" ht="18.75" hidden="1">
      <c r="A64" s="2007"/>
      <c r="B64" s="2007"/>
      <c r="C64" s="596" t="s">
        <v>1152</v>
      </c>
      <c r="D64" s="2689"/>
      <c r="E64" s="2431"/>
      <c r="F64" s="2610"/>
      <c r="G64" s="2654"/>
      <c r="H64" s="1727"/>
      <c r="I64" s="878" t="s">
        <v>1153</v>
      </c>
      <c r="J64" s="798"/>
      <c r="K64" s="1727"/>
      <c r="L64" s="441"/>
      <c r="M64" s="2397"/>
      <c r="N64" s="561"/>
      <c r="O64" s="1851"/>
      <c r="P64" s="1851"/>
      <c r="AH64" s="1858">
        <v>0</v>
      </c>
    </row>
    <row s="13141" customFormat="1" customHeight="1" ht="0.75" hidden="1">
      <c r="A65" s="2007"/>
      <c r="B65" s="2007"/>
      <c r="C65" s="596" t="s">
        <v>1158</v>
      </c>
      <c r="D65" s="2689"/>
      <c r="E65" s="2431"/>
      <c r="F65" s="2610"/>
      <c r="G65" s="627"/>
      <c r="H65" s="1727"/>
      <c r="I65" s="878"/>
      <c r="J65" s="798"/>
      <c r="K65" s="1727"/>
      <c r="L65" s="441"/>
      <c r="M65" s="2397"/>
      <c r="N65" s="561"/>
      <c r="O65" s="1851"/>
      <c r="P65" s="1851"/>
      <c r="AH65" s="1858">
        <v>0</v>
      </c>
    </row>
    <row s="13141" customFormat="1" customHeight="1" ht="18.75" hidden="1">
      <c r="A66" s="2007" t="s">
        <v>255</v>
      </c>
      <c r="B66" s="2007" t="s">
        <v>256</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311</v>
      </c>
      <c r="M66" s="2397"/>
      <c r="N66" s="561"/>
      <c r="O66" s="1851"/>
      <c r="P66" s="1851"/>
      <c r="AH66" s="1858">
        <v>0</v>
      </c>
    </row>
    <row s="13141" customFormat="1" customHeight="1" ht="18.75" hidden="1">
      <c r="A67" s="2007"/>
      <c r="B67" s="2007"/>
      <c r="C67" s="596" t="s">
        <v>1152</v>
      </c>
      <c r="D67" s="2689"/>
      <c r="E67" s="2431"/>
      <c r="F67" s="2610"/>
      <c r="G67" s="2654"/>
      <c r="H67" s="1727"/>
      <c r="I67" s="878" t="s">
        <v>1153</v>
      </c>
      <c r="J67" s="798"/>
      <c r="K67" s="1727"/>
      <c r="L67" s="441"/>
      <c r="M67" s="2397"/>
      <c r="N67" s="561"/>
      <c r="O67" s="1851"/>
      <c r="P67" s="1851"/>
      <c r="AH67" s="1858">
        <v>0</v>
      </c>
    </row>
    <row s="13141" customFormat="1" customHeight="1" ht="0.75" hidden="1">
      <c r="A68" s="2007"/>
      <c r="B68" s="2007"/>
      <c r="C68" s="596" t="s">
        <v>1158</v>
      </c>
      <c r="D68" s="2689"/>
      <c r="E68" s="2431"/>
      <c r="F68" s="2610"/>
      <c r="G68" s="627"/>
      <c r="H68" s="1727"/>
      <c r="I68" s="878"/>
      <c r="J68" s="798"/>
      <c r="K68" s="1727"/>
      <c r="L68" s="441"/>
      <c r="M68" s="2397"/>
      <c r="N68" s="561"/>
      <c r="O68" s="1851"/>
      <c r="P68" s="1851"/>
      <c r="AH68" s="1858">
        <v>0</v>
      </c>
    </row>
    <row s="13141" customFormat="1" customHeight="1" ht="18.75" hidden="1">
      <c r="A69" s="2007" t="s">
        <v>260</v>
      </c>
      <c r="B69" s="2007" t="s">
        <v>261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3141" customFormat="1" customHeight="1" ht="18.75" hidden="1">
      <c r="A70" s="2007"/>
      <c r="B70" s="2007"/>
      <c r="C70" s="596" t="s">
        <v>1152</v>
      </c>
      <c r="D70" s="2689"/>
      <c r="E70" s="2431"/>
      <c r="F70" s="2610"/>
      <c r="G70" s="2654"/>
      <c r="H70" s="1727"/>
      <c r="I70" s="878" t="s">
        <v>1153</v>
      </c>
      <c r="J70" s="798"/>
      <c r="K70" s="1727"/>
      <c r="L70" s="441"/>
      <c r="M70" s="2397"/>
      <c r="N70" s="561"/>
      <c r="O70" s="1851"/>
      <c r="P70" s="1851"/>
      <c r="AH70" s="1858">
        <v>0</v>
      </c>
    </row>
    <row s="13141" customFormat="1" customHeight="1" ht="0.75" hidden="1">
      <c r="A71" s="2007"/>
      <c r="B71" s="2007"/>
      <c r="C71" s="596" t="s">
        <v>1158</v>
      </c>
      <c r="D71" s="2689"/>
      <c r="E71" s="2431"/>
      <c r="F71" s="2610"/>
      <c r="G71" s="627"/>
      <c r="H71" s="1727"/>
      <c r="I71" s="878"/>
      <c r="J71" s="798"/>
      <c r="K71" s="1727"/>
      <c r="L71" s="441"/>
      <c r="M71" s="2397"/>
      <c r="N71" s="561"/>
      <c r="O71" s="1851"/>
      <c r="P71" s="1851"/>
      <c r="AH71" s="1858">
        <v>0</v>
      </c>
    </row>
    <row s="13141" customFormat="1" customHeight="1" ht="18.75" hidden="1">
      <c r="A72" s="2007" t="s">
        <v>265</v>
      </c>
      <c r="B72" s="2007" t="s">
        <v>266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3141" customFormat="1" customHeight="1" ht="18.75" hidden="1">
      <c r="A73" s="2007"/>
      <c r="B73" s="2007"/>
      <c r="C73" s="596" t="s">
        <v>1152</v>
      </c>
      <c r="D73" s="2689"/>
      <c r="E73" s="2431"/>
      <c r="F73" s="2610"/>
      <c r="G73" s="2654"/>
      <c r="H73" s="1727"/>
      <c r="I73" s="878" t="s">
        <v>1153</v>
      </c>
      <c r="J73" s="798"/>
      <c r="K73" s="1727"/>
      <c r="L73" s="441"/>
      <c r="M73" s="2397"/>
      <c r="N73" s="561"/>
      <c r="O73" s="1851"/>
      <c r="P73" s="1851"/>
      <c r="AH73" s="1858">
        <v>0</v>
      </c>
    </row>
    <row s="13141" customFormat="1" customHeight="1" ht="0.75" hidden="1">
      <c r="A74" s="2007"/>
      <c r="B74" s="2007"/>
      <c r="C74" s="596" t="s">
        <v>1158</v>
      </c>
      <c r="D74" s="2689"/>
      <c r="E74" s="2431"/>
      <c r="F74" s="2610"/>
      <c r="G74" s="627"/>
      <c r="H74" s="1727"/>
      <c r="I74" s="878"/>
      <c r="J74" s="798"/>
      <c r="K74" s="1727"/>
      <c r="L74" s="441"/>
      <c r="M74" s="2397"/>
      <c r="N74" s="561"/>
      <c r="O74" s="1851"/>
      <c r="P74" s="1851"/>
      <c r="AH74" s="1858">
        <v>0</v>
      </c>
    </row>
    <row s="13141" customFormat="1" customHeight="1" ht="18.75" hidden="1">
      <c r="A75" s="2007" t="s">
        <v>270</v>
      </c>
      <c r="B75" s="2007" t="s">
        <v>271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311</v>
      </c>
      <c r="M75" s="2397"/>
      <c r="N75" s="561"/>
      <c r="O75" s="1851"/>
      <c r="P75" s="1851"/>
      <c r="AH75" s="1858">
        <v>0</v>
      </c>
    </row>
    <row s="13141" customFormat="1" customHeight="1" ht="18.75" hidden="1">
      <c r="A76" s="2007"/>
      <c r="B76" s="2007"/>
      <c r="C76" s="596" t="s">
        <v>1152</v>
      </c>
      <c r="D76" s="2689"/>
      <c r="E76" s="2431"/>
      <c r="F76" s="2610"/>
      <c r="G76" s="2654"/>
      <c r="H76" s="1727"/>
      <c r="I76" s="878" t="s">
        <v>1153</v>
      </c>
      <c r="J76" s="798"/>
      <c r="K76" s="1727"/>
      <c r="L76" s="441"/>
      <c r="M76" s="2397"/>
      <c r="N76" s="561"/>
      <c r="O76" s="1851"/>
      <c r="P76" s="1851"/>
      <c r="AH76" s="1858">
        <v>0</v>
      </c>
    </row>
    <row s="13141" customFormat="1" customHeight="1" ht="0.75" hidden="1">
      <c r="A77" s="2007"/>
      <c r="B77" s="2007"/>
      <c r="C77" s="596" t="s">
        <v>1158</v>
      </c>
      <c r="D77" s="2689"/>
      <c r="E77" s="2431"/>
      <c r="F77" s="2610"/>
      <c r="G77" s="627"/>
      <c r="H77" s="1727"/>
      <c r="I77" s="878"/>
      <c r="J77" s="798"/>
      <c r="K77" s="1727"/>
      <c r="L77" s="441"/>
      <c r="M77" s="2397"/>
      <c r="N77" s="561"/>
      <c r="O77" s="1851"/>
      <c r="P77" s="1851"/>
      <c r="AH77" s="1858">
        <v>0</v>
      </c>
    </row>
    <row s="13141"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3141" customFormat="1" customHeight="1" ht="18.75" hidden="1">
      <c r="A79" s="2007"/>
      <c r="B79" s="2007"/>
      <c r="C79" s="596" t="s">
        <v>1152</v>
      </c>
      <c r="D79" s="2689"/>
      <c r="E79" s="2431"/>
      <c r="F79" s="2610"/>
      <c r="G79" s="2654"/>
      <c r="H79" s="1727"/>
      <c r="I79" s="878" t="s">
        <v>1153</v>
      </c>
      <c r="J79" s="798"/>
      <c r="K79" s="1727"/>
      <c r="L79" s="441"/>
      <c r="M79" s="2397"/>
      <c r="N79" s="561"/>
      <c r="O79" s="1851"/>
      <c r="P79" s="1851"/>
      <c r="AH79" s="1858">
        <v>0</v>
      </c>
    </row>
    <row s="13141" customFormat="1" customHeight="1" ht="0.75" hidden="1">
      <c r="A80" s="2007"/>
      <c r="B80" s="2007"/>
      <c r="C80" s="596" t="s">
        <v>1158</v>
      </c>
      <c r="D80" s="2689"/>
      <c r="E80" s="2431"/>
      <c r="F80" s="2610"/>
      <c r="G80" s="627"/>
      <c r="H80" s="1727"/>
      <c r="I80" s="878"/>
      <c r="J80" s="798"/>
      <c r="K80" s="1727"/>
      <c r="L80" s="441"/>
      <c r="M80" s="2397"/>
      <c r="N80" s="561"/>
      <c r="O80" s="1851"/>
      <c r="P80" s="1851"/>
      <c r="AH80" s="1858">
        <v>0</v>
      </c>
    </row>
    <row s="13141"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3141" customFormat="1" customHeight="1" ht="18.75" hidden="1">
      <c r="A82" s="2007"/>
      <c r="B82" s="2007"/>
      <c r="C82" s="596" t="s">
        <v>1152</v>
      </c>
      <c r="D82" s="2689"/>
      <c r="E82" s="2431"/>
      <c r="F82" s="2610"/>
      <c r="G82" s="2654"/>
      <c r="H82" s="1727"/>
      <c r="I82" s="878" t="s">
        <v>1153</v>
      </c>
      <c r="J82" s="798"/>
      <c r="K82" s="1727"/>
      <c r="L82" s="441"/>
      <c r="M82" s="2397"/>
      <c r="N82" s="561"/>
      <c r="O82" s="1851"/>
      <c r="P82" s="1851"/>
      <c r="AH82" s="1858">
        <v>0</v>
      </c>
    </row>
    <row s="13141" customFormat="1" customHeight="1" ht="1.05">
      <c r="A83" s="2007"/>
      <c r="B83" s="2007"/>
      <c r="C83" s="596" t="s">
        <v>1158</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87"/>
      <c r="H84" s="2687"/>
      <c r="I84" s="2687"/>
      <c r="J84" s="2687"/>
      <c r="K84" s="2687"/>
      <c r="L84" s="2687"/>
      <c r="M84" s="524"/>
      <c r="N84" s="561"/>
      <c r="AH84" s="601">
        <v>19</v>
      </c>
    </row>
    <row customHeight="1" ht="36">
      <c r="A85" s="2007"/>
      <c r="B85" s="2007"/>
      <c r="D85" s="603"/>
      <c r="E85" s="626"/>
      <c r="F85" s="425" t="s">
        <v>311</v>
      </c>
      <c r="G85" s="425" t="s">
        <v>311</v>
      </c>
      <c r="H85" s="2445" t="s">
        <v>311</v>
      </c>
      <c r="I85" s="2447"/>
      <c r="J85" s="425" t="s">
        <v>311</v>
      </c>
      <c r="K85" s="425" t="s">
        <v>311</v>
      </c>
      <c r="L85" s="8889" t="s">
        <v>1160</v>
      </c>
      <c r="M85" s="572" t="s">
        <v>1161</v>
      </c>
      <c r="N85" s="561"/>
      <c r="AH85" s="601">
        <v>34</v>
      </c>
    </row>
    <row customHeight="1" ht="19.95">
      <c r="A86" s="2007"/>
      <c r="B86" s="2007"/>
      <c r="D86" s="603"/>
      <c r="E86" s="374" t="s">
        <v>90</v>
      </c>
      <c r="F86" s="2687" t="s">
        <v>1162</v>
      </c>
      <c r="G86" s="2687"/>
      <c r="H86" s="2687"/>
      <c r="I86" s="2687"/>
      <c r="J86" s="2687"/>
      <c r="K86" s="2687"/>
      <c r="L86" s="2687"/>
      <c r="M86" s="524"/>
      <c r="N86" s="561"/>
      <c r="AH86" s="601">
        <v>19</v>
      </c>
    </row>
    <row s="13141"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3141" customFormat="1" customHeight="1" ht="18.75" hidden="1">
      <c r="A88" s="2007"/>
      <c r="B88" s="2007"/>
      <c r="C88" s="596" t="s">
        <v>1154</v>
      </c>
      <c r="D88" s="2689"/>
      <c r="E88" s="2431"/>
      <c r="F88" s="2610"/>
      <c r="G88" s="2654"/>
      <c r="H88" s="1727"/>
      <c r="I88" s="878" t="s">
        <v>1153</v>
      </c>
      <c r="J88" s="798"/>
      <c r="K88" s="1727"/>
      <c r="L88" s="441"/>
      <c r="M88" s="2397"/>
      <c r="N88" s="561"/>
      <c r="O88" s="1851"/>
      <c r="P88" s="1851"/>
      <c r="AH88" s="1858">
        <v>0</v>
      </c>
    </row>
    <row s="13141" customFormat="1" customHeight="1" ht="0.75" hidden="1">
      <c r="A89" s="2007"/>
      <c r="B89" s="2007"/>
      <c r="C89" s="596" t="s">
        <v>1163</v>
      </c>
      <c r="D89" s="2689"/>
      <c r="E89" s="2431"/>
      <c r="F89" s="2610"/>
      <c r="G89" s="627"/>
      <c r="H89" s="1727"/>
      <c r="I89" s="878"/>
      <c r="J89" s="798"/>
      <c r="K89" s="1727"/>
      <c r="L89" s="441"/>
      <c r="M89" s="2397"/>
      <c r="N89" s="561"/>
      <c r="O89" s="1851"/>
      <c r="P89" s="1851"/>
      <c r="AH89" s="1858">
        <v>0</v>
      </c>
    </row>
    <row s="13141" customFormat="1" customHeight="1" ht="45" hidden="1">
      <c r="A90" s="2007" t="s">
        <v>160</v>
      </c>
      <c r="B90" s="2007" t="s">
        <v>161</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311</v>
      </c>
      <c r="M90" s="2398"/>
      <c r="N90" s="561"/>
      <c r="O90" s="1851"/>
      <c r="P90" s="1851"/>
      <c r="AH90" s="1858">
        <v>0</v>
      </c>
    </row>
    <row s="13141" customFormat="1" customHeight="1" ht="18.75" hidden="1">
      <c r="A91" s="2007"/>
      <c r="B91" s="2007"/>
      <c r="C91" s="596" t="s">
        <v>1154</v>
      </c>
      <c r="D91" s="2689"/>
      <c r="E91" s="2431"/>
      <c r="F91" s="2610"/>
      <c r="G91" s="2654"/>
      <c r="H91" s="1727"/>
      <c r="I91" s="878" t="s">
        <v>1153</v>
      </c>
      <c r="J91" s="798"/>
      <c r="K91" s="1727"/>
      <c r="L91" s="441"/>
      <c r="M91" s="2088"/>
      <c r="N91" s="561"/>
      <c r="O91" s="1851"/>
      <c r="P91" s="1851"/>
      <c r="AH91" s="1858">
        <v>0</v>
      </c>
    </row>
    <row s="13141" customFormat="1" customHeight="1" ht="0.75" hidden="1">
      <c r="A92" s="2007"/>
      <c r="B92" s="2007"/>
      <c r="C92" s="596" t="s">
        <v>1163</v>
      </c>
      <c r="D92" s="2689"/>
      <c r="E92" s="2431"/>
      <c r="F92" s="2610"/>
      <c r="G92" s="627"/>
      <c r="H92" s="1727"/>
      <c r="I92" s="878"/>
      <c r="J92" s="798"/>
      <c r="K92" s="1727"/>
      <c r="L92" s="441"/>
      <c r="M92" s="568"/>
      <c r="N92" s="561"/>
      <c r="O92" s="1851"/>
      <c r="P92" s="1851"/>
      <c r="AH92" s="1858">
        <v>0</v>
      </c>
    </row>
    <row s="13141"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3141" customFormat="1" customHeight="1" ht="18.75" hidden="1">
      <c r="A94" s="2007"/>
      <c r="B94" s="2007"/>
      <c r="C94" s="596" t="s">
        <v>1154</v>
      </c>
      <c r="D94" s="2689"/>
      <c r="E94" s="2431"/>
      <c r="F94" s="2610"/>
      <c r="G94" s="2654"/>
      <c r="H94" s="1727"/>
      <c r="I94" s="878" t="s">
        <v>1153</v>
      </c>
      <c r="J94" s="798"/>
      <c r="K94" s="1727"/>
      <c r="L94" s="441"/>
      <c r="M94" s="568"/>
      <c r="N94" s="561"/>
      <c r="O94" s="1851"/>
      <c r="P94" s="1851"/>
      <c r="AH94" s="1858">
        <v>0</v>
      </c>
    </row>
    <row s="13141" customFormat="1" customHeight="1" ht="0.75" hidden="1">
      <c r="A95" s="2007"/>
      <c r="B95" s="2007"/>
      <c r="C95" s="596" t="s">
        <v>1163</v>
      </c>
      <c r="D95" s="2689"/>
      <c r="E95" s="2431"/>
      <c r="F95" s="2610"/>
      <c r="G95" s="627"/>
      <c r="H95" s="1727"/>
      <c r="I95" s="878"/>
      <c r="J95" s="798"/>
      <c r="K95" s="1727"/>
      <c r="L95" s="441"/>
      <c r="M95" s="568"/>
      <c r="N95" s="561"/>
      <c r="O95" s="1851"/>
      <c r="P95" s="1851"/>
      <c r="AH95" s="1858">
        <v>0</v>
      </c>
    </row>
    <row s="13141"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3141" customFormat="1" customHeight="1" ht="18.75" hidden="1">
      <c r="A97" s="2007"/>
      <c r="B97" s="2007"/>
      <c r="C97" s="596" t="s">
        <v>1154</v>
      </c>
      <c r="D97" s="2689"/>
      <c r="E97" s="2431"/>
      <c r="F97" s="2610"/>
      <c r="G97" s="2654"/>
      <c r="H97" s="1727"/>
      <c r="I97" s="878" t="s">
        <v>1153</v>
      </c>
      <c r="J97" s="798"/>
      <c r="K97" s="1727"/>
      <c r="L97" s="441"/>
      <c r="M97" s="568"/>
      <c r="N97" s="561"/>
      <c r="O97" s="1851"/>
      <c r="P97" s="1851"/>
      <c r="AH97" s="1858">
        <v>0</v>
      </c>
    </row>
    <row s="13141" customFormat="1" customHeight="1" ht="0.75" hidden="1">
      <c r="A98" s="2007"/>
      <c r="B98" s="2007"/>
      <c r="C98" s="596" t="s">
        <v>1163</v>
      </c>
      <c r="D98" s="2689"/>
      <c r="E98" s="2431"/>
      <c r="F98" s="2610"/>
      <c r="G98" s="627"/>
      <c r="H98" s="1727"/>
      <c r="I98" s="878"/>
      <c r="J98" s="798"/>
      <c r="K98" s="1727"/>
      <c r="L98" s="441"/>
      <c r="M98" s="568"/>
      <c r="N98" s="561"/>
      <c r="O98" s="1851"/>
      <c r="P98" s="1851"/>
      <c r="AH98" s="1858">
        <v>0</v>
      </c>
    </row>
    <row s="13141"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3141" customFormat="1" customHeight="1" ht="18.75" hidden="1">
      <c r="A100" s="2007"/>
      <c r="B100" s="2007"/>
      <c r="C100" s="596" t="s">
        <v>1154</v>
      </c>
      <c r="D100" s="2689"/>
      <c r="E100" s="2431"/>
      <c r="F100" s="2610"/>
      <c r="G100" s="2654"/>
      <c r="H100" s="1727"/>
      <c r="I100" s="878" t="s">
        <v>1153</v>
      </c>
      <c r="J100" s="798"/>
      <c r="K100" s="1727"/>
      <c r="L100" s="441"/>
      <c r="M100" s="568"/>
      <c r="N100" s="561"/>
      <c r="O100" s="1851"/>
      <c r="P100" s="1851"/>
      <c r="AH100" s="1858">
        <v>0</v>
      </c>
    </row>
    <row s="13141" customFormat="1" customHeight="1" ht="0.75" hidden="1">
      <c r="A101" s="2007"/>
      <c r="B101" s="2007"/>
      <c r="C101" s="596" t="s">
        <v>1163</v>
      </c>
      <c r="D101" s="2689"/>
      <c r="E101" s="2431"/>
      <c r="F101" s="2610"/>
      <c r="G101" s="627"/>
      <c r="H101" s="1727"/>
      <c r="I101" s="878"/>
      <c r="J101" s="798"/>
      <c r="K101" s="1727"/>
      <c r="L101" s="441"/>
      <c r="M101" s="568"/>
      <c r="N101" s="561"/>
      <c r="O101" s="1851"/>
      <c r="P101" s="1851"/>
      <c r="AH101" s="1858">
        <v>0</v>
      </c>
    </row>
    <row s="13141"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3141" customFormat="1" customHeight="1" ht="18.75" hidden="1">
      <c r="A103" s="2007"/>
      <c r="B103" s="2007"/>
      <c r="C103" s="596" t="s">
        <v>1154</v>
      </c>
      <c r="D103" s="2689"/>
      <c r="E103" s="2431"/>
      <c r="F103" s="2610"/>
      <c r="G103" s="2654"/>
      <c r="H103" s="1727"/>
      <c r="I103" s="878" t="s">
        <v>1153</v>
      </c>
      <c r="J103" s="798"/>
      <c r="K103" s="1727"/>
      <c r="L103" s="441"/>
      <c r="M103" s="568"/>
      <c r="N103" s="561"/>
      <c r="O103" s="1851"/>
      <c r="P103" s="1851"/>
      <c r="AH103" s="1858">
        <v>0</v>
      </c>
    </row>
    <row s="13141" customFormat="1" customHeight="1" ht="0.75" hidden="1">
      <c r="A104" s="2007"/>
      <c r="B104" s="2007"/>
      <c r="C104" s="596" t="s">
        <v>1163</v>
      </c>
      <c r="D104" s="2689"/>
      <c r="E104" s="2431"/>
      <c r="F104" s="2610"/>
      <c r="G104" s="627"/>
      <c r="H104" s="1727"/>
      <c r="I104" s="878"/>
      <c r="J104" s="798"/>
      <c r="K104" s="1727"/>
      <c r="L104" s="441"/>
      <c r="M104" s="568"/>
      <c r="N104" s="561"/>
      <c r="O104" s="1851"/>
      <c r="P104" s="1851"/>
      <c r="AH104" s="1858">
        <v>0</v>
      </c>
    </row>
    <row s="13141"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3141" customFormat="1" customHeight="1" ht="18.75" hidden="1">
      <c r="A106" s="2007"/>
      <c r="B106" s="2007"/>
      <c r="C106" s="596" t="s">
        <v>1154</v>
      </c>
      <c r="D106" s="2689"/>
      <c r="E106" s="2431"/>
      <c r="F106" s="2610"/>
      <c r="G106" s="2654"/>
      <c r="H106" s="1727"/>
      <c r="I106" s="878" t="s">
        <v>1153</v>
      </c>
      <c r="J106" s="798"/>
      <c r="K106" s="1727"/>
      <c r="L106" s="441"/>
      <c r="M106" s="568"/>
      <c r="N106" s="561"/>
      <c r="O106" s="1851"/>
      <c r="P106" s="1851"/>
      <c r="AH106" s="1858">
        <v>0</v>
      </c>
    </row>
    <row s="13141" customFormat="1" customHeight="1" ht="0.75" hidden="1">
      <c r="A107" s="2007"/>
      <c r="B107" s="2007"/>
      <c r="C107" s="596" t="s">
        <v>1163</v>
      </c>
      <c r="D107" s="2689"/>
      <c r="E107" s="2431"/>
      <c r="F107" s="2610"/>
      <c r="G107" s="627"/>
      <c r="H107" s="1727"/>
      <c r="I107" s="878"/>
      <c r="J107" s="798"/>
      <c r="K107" s="1727"/>
      <c r="L107" s="441"/>
      <c r="M107" s="568"/>
      <c r="N107" s="561"/>
      <c r="O107" s="1851"/>
      <c r="P107" s="1851"/>
      <c r="AH107" s="1858">
        <v>0</v>
      </c>
    </row>
    <row s="13141"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3141" customFormat="1" customHeight="1" ht="18.75" hidden="1">
      <c r="A109" s="2007"/>
      <c r="B109" s="2007"/>
      <c r="C109" s="596" t="s">
        <v>1154</v>
      </c>
      <c r="D109" s="2689"/>
      <c r="E109" s="2431"/>
      <c r="F109" s="2610"/>
      <c r="G109" s="2654"/>
      <c r="H109" s="1727"/>
      <c r="I109" s="878" t="s">
        <v>1153</v>
      </c>
      <c r="J109" s="798"/>
      <c r="K109" s="1727"/>
      <c r="L109" s="441"/>
      <c r="M109" s="568"/>
      <c r="N109" s="561"/>
      <c r="O109" s="1851"/>
      <c r="P109" s="1851"/>
      <c r="AH109" s="1858">
        <v>0</v>
      </c>
    </row>
    <row s="13141" customFormat="1" customHeight="1" ht="0.75" hidden="1">
      <c r="A110" s="2007"/>
      <c r="B110" s="2007"/>
      <c r="C110" s="596" t="s">
        <v>1163</v>
      </c>
      <c r="D110" s="2689"/>
      <c r="E110" s="2431"/>
      <c r="F110" s="2610"/>
      <c r="G110" s="627"/>
      <c r="H110" s="1727"/>
      <c r="I110" s="878"/>
      <c r="J110" s="798"/>
      <c r="K110" s="1727"/>
      <c r="L110" s="441"/>
      <c r="M110" s="568"/>
      <c r="N110" s="561"/>
      <c r="O110" s="1851"/>
      <c r="P110" s="1851"/>
      <c r="AH110" s="1858">
        <v>0</v>
      </c>
    </row>
    <row s="13141" customFormat="1" customHeight="1" ht="18.75" hidden="1">
      <c r="A111" s="2007" t="s">
        <v>203</v>
      </c>
      <c r="B111" s="2007" t="s">
        <v>204</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311</v>
      </c>
      <c r="M111" s="568"/>
      <c r="N111" s="561"/>
      <c r="O111" s="1851"/>
      <c r="P111" s="1851"/>
      <c r="AH111" s="1858">
        <v>0</v>
      </c>
    </row>
    <row s="13141" customFormat="1" customHeight="1" ht="18.75" hidden="1">
      <c r="A112" s="2007"/>
      <c r="B112" s="2007"/>
      <c r="C112" s="596" t="s">
        <v>1154</v>
      </c>
      <c r="D112" s="2689"/>
      <c r="E112" s="2431"/>
      <c r="F112" s="2610"/>
      <c r="G112" s="2654"/>
      <c r="H112" s="1727"/>
      <c r="I112" s="878" t="s">
        <v>1153</v>
      </c>
      <c r="J112" s="798"/>
      <c r="K112" s="1727"/>
      <c r="L112" s="441"/>
      <c r="M112" s="568"/>
      <c r="N112" s="561"/>
      <c r="O112" s="1851"/>
      <c r="P112" s="1851"/>
      <c r="AH112" s="1858">
        <v>0</v>
      </c>
    </row>
    <row s="13141" customFormat="1" customHeight="1" ht="0.75" hidden="1">
      <c r="A113" s="2007"/>
      <c r="B113" s="2007"/>
      <c r="C113" s="596" t="s">
        <v>1163</v>
      </c>
      <c r="D113" s="2689"/>
      <c r="E113" s="2431"/>
      <c r="F113" s="2610"/>
      <c r="G113" s="627"/>
      <c r="H113" s="1727"/>
      <c r="I113" s="878"/>
      <c r="J113" s="798"/>
      <c r="K113" s="1727"/>
      <c r="L113" s="441"/>
      <c r="M113" s="568"/>
      <c r="N113" s="561"/>
      <c r="O113" s="1851"/>
      <c r="P113" s="1851"/>
      <c r="AH113" s="1858">
        <v>0</v>
      </c>
    </row>
    <row s="13141" customFormat="1" customHeight="1" ht="18.75">
      <c r="A114" s="2007" t="s">
        <v>225</v>
      </c>
      <c r="B114" s="2007" t="s">
        <v>226</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Тариф  на  холодную  воду  питьевую</v>
      </c>
      <c r="H114" s="2089"/>
      <c r="I114" s="8886">
        <v>45292</v>
      </c>
      <c r="J114" s="8887">
        <v>47118</v>
      </c>
      <c r="K114" s="2005">
        <v>2524189.65</v>
      </c>
      <c r="L114" s="2089" t="s">
        <v>311</v>
      </c>
      <c r="M114" s="568"/>
      <c r="N114" s="561"/>
      <c r="O114" s="1851"/>
      <c r="P114" s="1851"/>
      <c r="AH114" s="1858">
        <v>0</v>
      </c>
    </row>
    <row s="15841" customFormat="1" customHeight="1" ht="56.25">
      <c r="A115" s="8892"/>
      <c r="B115" s="8892"/>
      <c r="C115" s="8893"/>
      <c r="D115" s="8894"/>
      <c r="E115" s="8895"/>
      <c r="F115" s="8895"/>
      <c r="G115" s="8895"/>
      <c r="H115" s="8896" t="s">
        <v>491</v>
      </c>
      <c r="I115" s="8886">
        <v>45292</v>
      </c>
      <c r="J115" s="8887">
        <v>45657</v>
      </c>
      <c r="K115" s="8897">
        <v>428549.93</v>
      </c>
      <c r="L115" s="8898" t="s">
        <v>311</v>
      </c>
      <c r="M115" s="8899"/>
      <c r="N115" s="8900"/>
      <c r="O115" s="8901"/>
      <c r="P115" s="8901"/>
      <c r="Q115" s="8902"/>
      <c r="R115" s="8902"/>
      <c r="S115" s="8902"/>
      <c r="T115" s="8902"/>
      <c r="U115" s="8902"/>
      <c r="V115" s="8902"/>
      <c r="W115" s="8902"/>
      <c r="X115" s="8902"/>
      <c r="Y115" s="8902"/>
      <c r="Z115" s="8902"/>
      <c r="AA115" s="8902"/>
      <c r="AB115" s="8902"/>
      <c r="AC115" s="8902"/>
      <c r="AD115" s="8902"/>
      <c r="AE115" s="8902"/>
      <c r="AF115" s="8902"/>
      <c r="AG115" s="8902"/>
      <c r="AH115" s="8902">
        <v>0</v>
      </c>
    </row>
    <row s="15853" customFormat="1" customHeight="1" ht="56.25">
      <c r="A116" s="8892"/>
      <c r="B116" s="8892"/>
      <c r="C116" s="8893"/>
      <c r="D116" s="8894"/>
      <c r="E116" s="8895"/>
      <c r="F116" s="8895"/>
      <c r="G116" s="8895"/>
      <c r="H116" s="8896" t="s">
        <v>491</v>
      </c>
      <c r="I116" s="8886">
        <v>45658</v>
      </c>
      <c r="J116" s="8887">
        <v>46022</v>
      </c>
      <c r="K116" s="8897">
        <v>656056.06</v>
      </c>
      <c r="L116" s="8898" t="s">
        <v>311</v>
      </c>
      <c r="M116" s="8899"/>
      <c r="N116" s="8900"/>
      <c r="O116" s="8901"/>
      <c r="P116" s="8901"/>
      <c r="Q116" s="8902"/>
      <c r="R116" s="8902"/>
      <c r="S116" s="8902"/>
      <c r="T116" s="8902"/>
      <c r="U116" s="8902"/>
      <c r="V116" s="8902"/>
      <c r="W116" s="8902"/>
      <c r="X116" s="8902"/>
      <c r="Y116" s="8902"/>
      <c r="Z116" s="8902"/>
      <c r="AA116" s="8902"/>
      <c r="AB116" s="8902"/>
      <c r="AC116" s="8902"/>
      <c r="AD116" s="8902"/>
      <c r="AE116" s="8902"/>
      <c r="AF116" s="8902"/>
      <c r="AG116" s="8902"/>
      <c r="AH116" s="8902">
        <v>0</v>
      </c>
    </row>
    <row s="15853" customFormat="1" customHeight="1" ht="56.25">
      <c r="A117" s="8892"/>
      <c r="B117" s="8892"/>
      <c r="C117" s="8893"/>
      <c r="D117" s="8894"/>
      <c r="E117" s="8895"/>
      <c r="F117" s="8895"/>
      <c r="G117" s="8895"/>
      <c r="H117" s="8896" t="s">
        <v>491</v>
      </c>
      <c r="I117" s="8886">
        <v>46023</v>
      </c>
      <c r="J117" s="8887">
        <v>46387</v>
      </c>
      <c r="K117" s="8897">
        <v>466175.01</v>
      </c>
      <c r="L117" s="8898" t="s">
        <v>311</v>
      </c>
      <c r="M117" s="8899"/>
      <c r="N117" s="8900"/>
      <c r="O117" s="8901"/>
      <c r="P117" s="8901"/>
      <c r="Q117" s="8902"/>
      <c r="R117" s="8902"/>
      <c r="S117" s="8902"/>
      <c r="T117" s="8902"/>
      <c r="U117" s="8902"/>
      <c r="V117" s="8902"/>
      <c r="W117" s="8902"/>
      <c r="X117" s="8902"/>
      <c r="Y117" s="8902"/>
      <c r="Z117" s="8902"/>
      <c r="AA117" s="8902"/>
      <c r="AB117" s="8902"/>
      <c r="AC117" s="8902"/>
      <c r="AD117" s="8902"/>
      <c r="AE117" s="8902"/>
      <c r="AF117" s="8902"/>
      <c r="AG117" s="8902"/>
      <c r="AH117" s="8902">
        <v>0</v>
      </c>
    </row>
    <row s="15853" customFormat="1" customHeight="1" ht="56.25">
      <c r="A118" s="8892"/>
      <c r="B118" s="8892"/>
      <c r="C118" s="8893"/>
      <c r="D118" s="8894"/>
      <c r="E118" s="8895"/>
      <c r="F118" s="8895"/>
      <c r="G118" s="8895"/>
      <c r="H118" s="8896" t="s">
        <v>491</v>
      </c>
      <c r="I118" s="8886">
        <v>46388</v>
      </c>
      <c r="J118" s="8887">
        <v>46752</v>
      </c>
      <c r="K118" s="8897">
        <v>479714.89</v>
      </c>
      <c r="L118" s="8898" t="s">
        <v>311</v>
      </c>
      <c r="M118" s="8899"/>
      <c r="N118" s="8900"/>
      <c r="O118" s="8901"/>
      <c r="P118" s="8901"/>
      <c r="Q118" s="8902"/>
      <c r="R118" s="8902"/>
      <c r="S118" s="8902"/>
      <c r="T118" s="8902"/>
      <c r="U118" s="8902"/>
      <c r="V118" s="8902"/>
      <c r="W118" s="8902"/>
      <c r="X118" s="8902"/>
      <c r="Y118" s="8902"/>
      <c r="Z118" s="8902"/>
      <c r="AA118" s="8902"/>
      <c r="AB118" s="8902"/>
      <c r="AC118" s="8902"/>
      <c r="AD118" s="8902"/>
      <c r="AE118" s="8902"/>
      <c r="AF118" s="8902"/>
      <c r="AG118" s="8902"/>
      <c r="AH118" s="8902">
        <v>0</v>
      </c>
    </row>
    <row s="15853" customFormat="1" customHeight="1" ht="56.25">
      <c r="A119" s="8892"/>
      <c r="B119" s="8892"/>
      <c r="C119" s="8893"/>
      <c r="D119" s="8894"/>
      <c r="E119" s="8895"/>
      <c r="F119" s="8895"/>
      <c r="G119" s="8895"/>
      <c r="H119" s="8896" t="s">
        <v>491</v>
      </c>
      <c r="I119" s="8886">
        <v>46753</v>
      </c>
      <c r="J119" s="8887">
        <v>47118</v>
      </c>
      <c r="K119" s="8897">
        <v>493693.76</v>
      </c>
      <c r="L119" s="8898" t="s">
        <v>311</v>
      </c>
      <c r="M119" s="8899"/>
      <c r="N119" s="8900"/>
      <c r="O119" s="8901"/>
      <c r="P119" s="8901"/>
      <c r="Q119" s="8902"/>
      <c r="R119" s="8902"/>
      <c r="S119" s="8902"/>
      <c r="T119" s="8902"/>
      <c r="U119" s="8902"/>
      <c r="V119" s="8902"/>
      <c r="W119" s="8902"/>
      <c r="X119" s="8902"/>
      <c r="Y119" s="8902"/>
      <c r="Z119" s="8902"/>
      <c r="AA119" s="8902"/>
      <c r="AB119" s="8902"/>
      <c r="AC119" s="8902"/>
      <c r="AD119" s="8902"/>
      <c r="AE119" s="8902"/>
      <c r="AF119" s="8902"/>
      <c r="AG119" s="8902"/>
      <c r="AH119" s="8902">
        <v>0</v>
      </c>
    </row>
    <row s="13141" customFormat="1" customHeight="1" ht="18.75">
      <c r="A120" s="2007"/>
      <c r="B120" s="2007"/>
      <c r="C120" s="596" t="s">
        <v>1154</v>
      </c>
      <c r="D120" s="2689"/>
      <c r="E120" s="2431"/>
      <c r="F120" s="2610"/>
      <c r="G120" s="2654"/>
      <c r="H120" s="1727"/>
      <c r="I120" s="878" t="s">
        <v>1153</v>
      </c>
      <c r="J120" s="798"/>
      <c r="K120" s="1727"/>
      <c r="L120" s="441"/>
      <c r="M120" s="568"/>
      <c r="N120" s="561"/>
      <c r="O120" s="1851"/>
      <c r="P120" s="1851"/>
      <c r="AH120" s="1858">
        <v>0</v>
      </c>
    </row>
    <row s="13141" customFormat="1" customHeight="1" ht="0.75">
      <c r="A121" s="2007"/>
      <c r="B121" s="2007"/>
      <c r="C121" s="596" t="s">
        <v>1163</v>
      </c>
      <c r="D121" s="2689"/>
      <c r="E121" s="2431"/>
      <c r="F121" s="2610"/>
      <c r="G121" s="627"/>
      <c r="H121" s="1727"/>
      <c r="I121" s="878"/>
      <c r="J121" s="798"/>
      <c r="K121" s="1727"/>
      <c r="L121" s="441"/>
      <c r="M121" s="568"/>
      <c r="N121" s="561"/>
      <c r="O121" s="1851"/>
      <c r="P121" s="1851"/>
      <c r="AH121" s="1858">
        <v>0</v>
      </c>
    </row>
    <row s="13141" customFormat="1" customHeight="1" ht="18.75">
      <c r="A122" s="2007" t="s">
        <v>235</v>
      </c>
      <c r="B122" s="2007" t="s">
        <v>236</v>
      </c>
      <c r="C122" s="596"/>
      <c r="D122" s="2689"/>
      <c r="E122" s="2431"/>
      <c r="F122" s="2610" t="str">
        <f>INDEX(PT_DIFFERENTIATION_VTAR,MATCH(A122,PT_DIFFERENTIATION_VTAR_ID,0))</f>
        <v>Тариф на техническую воду</v>
      </c>
      <c r="G122" s="2654" t="str">
        <f>INDEX(PT_DIFFERENTIATION_NTAR,MATCH(B122,PT_DIFFERENTIATION_NTAR_ID,0))</f>
        <v>Тариф  на  техническую  воду</v>
      </c>
      <c r="H122" s="2089"/>
      <c r="I122" s="8886">
        <v>45292</v>
      </c>
      <c r="J122" s="8887">
        <v>47118</v>
      </c>
      <c r="K122" s="2005">
        <v>115140.88</v>
      </c>
      <c r="L122" s="2089" t="s">
        <v>311</v>
      </c>
      <c r="M122" s="568"/>
      <c r="N122" s="561"/>
      <c r="O122" s="1851"/>
      <c r="P122" s="1851"/>
      <c r="AH122" s="1858">
        <v>0</v>
      </c>
    </row>
    <row s="15853" customFormat="1" customHeight="1" ht="56.25">
      <c r="A123" s="8892"/>
      <c r="B123" s="8892"/>
      <c r="C123" s="8893"/>
      <c r="D123" s="8894"/>
      <c r="E123" s="8895"/>
      <c r="F123" s="8895"/>
      <c r="G123" s="8895"/>
      <c r="H123" s="8896" t="s">
        <v>491</v>
      </c>
      <c r="I123" s="8886">
        <v>45292</v>
      </c>
      <c r="J123" s="8887">
        <v>45657</v>
      </c>
      <c r="K123" s="8897">
        <v>21775.83</v>
      </c>
      <c r="L123" s="8898" t="s">
        <v>311</v>
      </c>
      <c r="M123" s="8899"/>
      <c r="N123" s="8900"/>
      <c r="O123" s="8901"/>
      <c r="P123" s="8901"/>
      <c r="Q123" s="8902"/>
      <c r="R123" s="8902"/>
      <c r="S123" s="8902"/>
      <c r="T123" s="8902"/>
      <c r="U123" s="8902"/>
      <c r="V123" s="8902"/>
      <c r="W123" s="8902"/>
      <c r="X123" s="8902"/>
      <c r="Y123" s="8902"/>
      <c r="Z123" s="8902"/>
      <c r="AA123" s="8902"/>
      <c r="AB123" s="8902"/>
      <c r="AC123" s="8902"/>
      <c r="AD123" s="8902"/>
      <c r="AE123" s="8902"/>
      <c r="AF123" s="8902"/>
      <c r="AG123" s="8902"/>
      <c r="AH123" s="8902">
        <v>0</v>
      </c>
    </row>
    <row s="15853" customFormat="1" customHeight="1" ht="56.25">
      <c r="A124" s="8892"/>
      <c r="B124" s="8892"/>
      <c r="C124" s="8893"/>
      <c r="D124" s="8894"/>
      <c r="E124" s="8895"/>
      <c r="F124" s="8895"/>
      <c r="G124" s="8895"/>
      <c r="H124" s="8896" t="s">
        <v>491</v>
      </c>
      <c r="I124" s="8886">
        <v>45658</v>
      </c>
      <c r="J124" s="8887">
        <v>46022</v>
      </c>
      <c r="K124" s="8897">
        <v>24530.37</v>
      </c>
      <c r="L124" s="8898" t="s">
        <v>311</v>
      </c>
      <c r="M124" s="8899"/>
      <c r="N124" s="8900"/>
      <c r="O124" s="8901"/>
      <c r="P124" s="8901"/>
      <c r="Q124" s="8902"/>
      <c r="R124" s="8902"/>
      <c r="S124" s="8902"/>
      <c r="T124" s="8902"/>
      <c r="U124" s="8902"/>
      <c r="V124" s="8902"/>
      <c r="W124" s="8902"/>
      <c r="X124" s="8902"/>
      <c r="Y124" s="8902"/>
      <c r="Z124" s="8902"/>
      <c r="AA124" s="8902"/>
      <c r="AB124" s="8902"/>
      <c r="AC124" s="8902"/>
      <c r="AD124" s="8902"/>
      <c r="AE124" s="8902"/>
      <c r="AF124" s="8902"/>
      <c r="AG124" s="8902"/>
      <c r="AH124" s="8902">
        <v>0</v>
      </c>
    </row>
    <row s="15853" customFormat="1" customHeight="1" ht="56.25">
      <c r="A125" s="8892"/>
      <c r="B125" s="8892"/>
      <c r="C125" s="8893"/>
      <c r="D125" s="8894"/>
      <c r="E125" s="8895"/>
      <c r="F125" s="8895"/>
      <c r="G125" s="8895"/>
      <c r="H125" s="8896" t="s">
        <v>491</v>
      </c>
      <c r="I125" s="8886">
        <v>46023</v>
      </c>
      <c r="J125" s="8887">
        <v>46387</v>
      </c>
      <c r="K125" s="8897">
        <v>22310.08</v>
      </c>
      <c r="L125" s="8898" t="s">
        <v>311</v>
      </c>
      <c r="M125" s="8899"/>
      <c r="N125" s="8900"/>
      <c r="O125" s="8901"/>
      <c r="P125" s="8901"/>
      <c r="Q125" s="8902"/>
      <c r="R125" s="8902"/>
      <c r="S125" s="8902"/>
      <c r="T125" s="8902"/>
      <c r="U125" s="8902"/>
      <c r="V125" s="8902"/>
      <c r="W125" s="8902"/>
      <c r="X125" s="8902"/>
      <c r="Y125" s="8902"/>
      <c r="Z125" s="8902"/>
      <c r="AA125" s="8902"/>
      <c r="AB125" s="8902"/>
      <c r="AC125" s="8902"/>
      <c r="AD125" s="8902"/>
      <c r="AE125" s="8902"/>
      <c r="AF125" s="8902"/>
      <c r="AG125" s="8902"/>
      <c r="AH125" s="8902">
        <v>0</v>
      </c>
    </row>
    <row s="15853" customFormat="1" customHeight="1" ht="56.25">
      <c r="A126" s="8892"/>
      <c r="B126" s="8892"/>
      <c r="C126" s="8893"/>
      <c r="D126" s="8894"/>
      <c r="E126" s="8895"/>
      <c r="F126" s="8895"/>
      <c r="G126" s="8895"/>
      <c r="H126" s="8896" t="s">
        <v>491</v>
      </c>
      <c r="I126" s="8886">
        <v>46388</v>
      </c>
      <c r="J126" s="8887">
        <v>46752</v>
      </c>
      <c r="K126" s="8897">
        <v>22937.89</v>
      </c>
      <c r="L126" s="8898" t="s">
        <v>311</v>
      </c>
      <c r="M126" s="8899"/>
      <c r="N126" s="8900"/>
      <c r="O126" s="8901"/>
      <c r="P126" s="8901"/>
      <c r="Q126" s="8902"/>
      <c r="R126" s="8902"/>
      <c r="S126" s="8902"/>
      <c r="T126" s="8902"/>
      <c r="U126" s="8902"/>
      <c r="V126" s="8902"/>
      <c r="W126" s="8902"/>
      <c r="X126" s="8902"/>
      <c r="Y126" s="8902"/>
      <c r="Z126" s="8902"/>
      <c r="AA126" s="8902"/>
      <c r="AB126" s="8902"/>
      <c r="AC126" s="8902"/>
      <c r="AD126" s="8902"/>
      <c r="AE126" s="8902"/>
      <c r="AF126" s="8902"/>
      <c r="AG126" s="8902"/>
      <c r="AH126" s="8902">
        <v>0</v>
      </c>
    </row>
    <row s="15853" customFormat="1" customHeight="1" ht="56.25">
      <c r="A127" s="8892"/>
      <c r="B127" s="8892"/>
      <c r="C127" s="8893"/>
      <c r="D127" s="8894"/>
      <c r="E127" s="8895"/>
      <c r="F127" s="8895"/>
      <c r="G127" s="8895"/>
      <c r="H127" s="8896" t="s">
        <v>491</v>
      </c>
      <c r="I127" s="8886">
        <v>46753</v>
      </c>
      <c r="J127" s="8887">
        <v>47118</v>
      </c>
      <c r="K127" s="8897">
        <v>23586.71</v>
      </c>
      <c r="L127" s="8898" t="s">
        <v>311</v>
      </c>
      <c r="M127" s="8899"/>
      <c r="N127" s="8900"/>
      <c r="O127" s="8901"/>
      <c r="P127" s="8901"/>
      <c r="Q127" s="8902"/>
      <c r="R127" s="8902"/>
      <c r="S127" s="8902"/>
      <c r="T127" s="8902"/>
      <c r="U127" s="8902"/>
      <c r="V127" s="8902"/>
      <c r="W127" s="8902"/>
      <c r="X127" s="8902"/>
      <c r="Y127" s="8902"/>
      <c r="Z127" s="8902"/>
      <c r="AA127" s="8902"/>
      <c r="AB127" s="8902"/>
      <c r="AC127" s="8902"/>
      <c r="AD127" s="8902"/>
      <c r="AE127" s="8902"/>
      <c r="AF127" s="8902"/>
      <c r="AG127" s="8902"/>
      <c r="AH127" s="8902">
        <v>0</v>
      </c>
    </row>
    <row s="13141" customFormat="1" customHeight="1" ht="18.75">
      <c r="A128" s="2007"/>
      <c r="B128" s="2007"/>
      <c r="C128" s="596" t="s">
        <v>1154</v>
      </c>
      <c r="D128" s="2689"/>
      <c r="E128" s="2431"/>
      <c r="F128" s="2610"/>
      <c r="G128" s="2654"/>
      <c r="H128" s="1727"/>
      <c r="I128" s="878" t="s">
        <v>1153</v>
      </c>
      <c r="J128" s="798"/>
      <c r="K128" s="1727"/>
      <c r="L128" s="441"/>
      <c r="M128" s="568"/>
      <c r="N128" s="561"/>
      <c r="O128" s="1851"/>
      <c r="P128" s="1851"/>
      <c r="AH128" s="1858">
        <v>0</v>
      </c>
    </row>
    <row s="13141" customFormat="1" customHeight="1" ht="0.75">
      <c r="A129" s="2007"/>
      <c r="B129" s="2007"/>
      <c r="C129" s="596" t="s">
        <v>1163</v>
      </c>
      <c r="D129" s="2689"/>
      <c r="E129" s="2431"/>
      <c r="F129" s="2610"/>
      <c r="G129" s="627"/>
      <c r="H129" s="1727"/>
      <c r="I129" s="878"/>
      <c r="J129" s="798"/>
      <c r="K129" s="1727"/>
      <c r="L129" s="441"/>
      <c r="M129" s="568"/>
      <c r="N129" s="561"/>
      <c r="O129" s="1851"/>
      <c r="P129" s="1851"/>
      <c r="AH129" s="1858">
        <v>0</v>
      </c>
    </row>
    <row s="13141" customFormat="1" customHeight="1" ht="18.75" hidden="1">
      <c r="A130" s="2007" t="s">
        <v>240</v>
      </c>
      <c r="B130" s="2007" t="s">
        <v>241</v>
      </c>
      <c r="C130" s="596"/>
      <c r="D130" s="2689"/>
      <c r="E130" s="2431"/>
      <c r="F130" s="2610" t="str">
        <f>INDEX(PT_DIFFERENTIATION_VTAR,MATCH(A130,PT_DIFFERENTIATION_VTAR_ID,0))</f>
        <v>Тариф на транспортировку воды</v>
      </c>
      <c r="G130" s="2654" t="str">
        <f>INDEX(PT_DIFFERENTIATION_NTAR,MATCH(B130,PT_DIFFERENTIATION_NTAR_ID,0))</f>
        <v/>
      </c>
      <c r="H130" s="2089"/>
      <c r="I130" s="1966"/>
      <c r="J130" s="2000"/>
      <c r="K130" s="2005"/>
      <c r="L130" s="2089" t="s">
        <v>311</v>
      </c>
      <c r="M130" s="568"/>
      <c r="N130" s="561"/>
      <c r="O130" s="1851"/>
      <c r="P130" s="1851"/>
      <c r="AH130" s="1858">
        <v>0</v>
      </c>
    </row>
    <row s="13141" customFormat="1" customHeight="1" ht="18.75" hidden="1">
      <c r="A131" s="2007"/>
      <c r="B131" s="2007"/>
      <c r="C131" s="596" t="s">
        <v>1154</v>
      </c>
      <c r="D131" s="2689"/>
      <c r="E131" s="2431"/>
      <c r="F131" s="2610"/>
      <c r="G131" s="2654"/>
      <c r="H131" s="1727"/>
      <c r="I131" s="878" t="s">
        <v>1153</v>
      </c>
      <c r="J131" s="798"/>
      <c r="K131" s="1727"/>
      <c r="L131" s="441"/>
      <c r="M131" s="568"/>
      <c r="N131" s="561"/>
      <c r="O131" s="1851"/>
      <c r="P131" s="1851"/>
      <c r="AH131" s="1858">
        <v>0</v>
      </c>
    </row>
    <row s="13141" customFormat="1" customHeight="1" ht="0.75" hidden="1">
      <c r="A132" s="2007"/>
      <c r="B132" s="2007"/>
      <c r="C132" s="596" t="s">
        <v>1163</v>
      </c>
      <c r="D132" s="2689"/>
      <c r="E132" s="2431"/>
      <c r="F132" s="2610"/>
      <c r="G132" s="627"/>
      <c r="H132" s="1727"/>
      <c r="I132" s="878"/>
      <c r="J132" s="798"/>
      <c r="K132" s="1727"/>
      <c r="L132" s="441"/>
      <c r="M132" s="568"/>
      <c r="N132" s="561"/>
      <c r="O132" s="1851"/>
      <c r="P132" s="1851"/>
      <c r="AH132" s="1858">
        <v>0</v>
      </c>
    </row>
    <row s="13141" customFormat="1" customHeight="1" ht="18.75" hidden="1">
      <c r="A133" s="2007" t="s">
        <v>245</v>
      </c>
      <c r="B133" s="2007" t="s">
        <v>246</v>
      </c>
      <c r="C133" s="596"/>
      <c r="D133" s="2689"/>
      <c r="E133" s="2431"/>
      <c r="F133" s="2610" t="str">
        <f>INDEX(PT_DIFFERENTIATION_VTAR,MATCH(A133,PT_DIFFERENTIATION_VTAR_ID,0))</f>
        <v>Тариф на подвоз воды</v>
      </c>
      <c r="G133" s="2654" t="str">
        <f>INDEX(PT_DIFFERENTIATION_NTAR,MATCH(B133,PT_DIFFERENTIATION_NTAR_ID,0))</f>
        <v/>
      </c>
      <c r="H133" s="2089"/>
      <c r="I133" s="1966"/>
      <c r="J133" s="2000"/>
      <c r="K133" s="2005"/>
      <c r="L133" s="2089" t="s">
        <v>311</v>
      </c>
      <c r="M133" s="568"/>
      <c r="N133" s="561"/>
      <c r="O133" s="1851"/>
      <c r="P133" s="1851"/>
      <c r="AH133" s="1858">
        <v>0</v>
      </c>
    </row>
    <row s="13141" customFormat="1" customHeight="1" ht="18.75" hidden="1">
      <c r="A134" s="2007"/>
      <c r="B134" s="2007"/>
      <c r="C134" s="596" t="s">
        <v>1154</v>
      </c>
      <c r="D134" s="2689"/>
      <c r="E134" s="2431"/>
      <c r="F134" s="2610"/>
      <c r="G134" s="2654"/>
      <c r="H134" s="1727"/>
      <c r="I134" s="878" t="s">
        <v>1153</v>
      </c>
      <c r="J134" s="798"/>
      <c r="K134" s="1727"/>
      <c r="L134" s="441"/>
      <c r="M134" s="568"/>
      <c r="N134" s="561"/>
      <c r="O134" s="1851"/>
      <c r="P134" s="1851"/>
      <c r="AH134" s="1858">
        <v>0</v>
      </c>
    </row>
    <row s="13141" customFormat="1" customHeight="1" ht="0.75" hidden="1">
      <c r="A135" s="2007"/>
      <c r="B135" s="2007"/>
      <c r="C135" s="596" t="s">
        <v>1163</v>
      </c>
      <c r="D135" s="2689"/>
      <c r="E135" s="2431"/>
      <c r="F135" s="2610"/>
      <c r="G135" s="627"/>
      <c r="H135" s="1727"/>
      <c r="I135" s="878"/>
      <c r="J135" s="798"/>
      <c r="K135" s="1727"/>
      <c r="L135" s="441"/>
      <c r="M135" s="568"/>
      <c r="N135" s="561"/>
      <c r="O135" s="1851"/>
      <c r="P135" s="1851"/>
      <c r="AH135" s="1858">
        <v>0</v>
      </c>
    </row>
    <row s="13141" customFormat="1" customHeight="1" ht="18.75" hidden="1">
      <c r="A136" s="2007" t="s">
        <v>250</v>
      </c>
      <c r="B136" s="2007" t="s">
        <v>251</v>
      </c>
      <c r="C136" s="596"/>
      <c r="D136" s="2689"/>
      <c r="E136" s="2431"/>
      <c r="F136" s="2610" t="str">
        <f>INDEX(PT_DIFFERENTIATION_VTAR,MATCH(A136,PT_DIFFERENTIATION_VTAR_ID,0))</f>
        <v>Тариф на подключение (технологическое присоединение) к централизованной системе холодного водоснабжения</v>
      </c>
      <c r="G136" s="2654" t="str">
        <f>INDEX(PT_DIFFERENTIATION_NTAR,MATCH(B136,PT_DIFFERENTIATION_NTAR_ID,0))</f>
        <v/>
      </c>
      <c r="H136" s="2089"/>
      <c r="I136" s="1966"/>
      <c r="J136" s="2000"/>
      <c r="K136" s="2005"/>
      <c r="L136" s="2089" t="s">
        <v>311</v>
      </c>
      <c r="M136" s="568"/>
      <c r="N136" s="561"/>
      <c r="O136" s="1851"/>
      <c r="P136" s="1851"/>
      <c r="AH136" s="1858">
        <v>0</v>
      </c>
    </row>
    <row s="13141" customFormat="1" customHeight="1" ht="18.75" hidden="1">
      <c r="A137" s="2007"/>
      <c r="B137" s="2007"/>
      <c r="C137" s="596" t="s">
        <v>1154</v>
      </c>
      <c r="D137" s="2689"/>
      <c r="E137" s="2431"/>
      <c r="F137" s="2610"/>
      <c r="G137" s="2654"/>
      <c r="H137" s="1727"/>
      <c r="I137" s="878" t="s">
        <v>1153</v>
      </c>
      <c r="J137" s="798"/>
      <c r="K137" s="1727"/>
      <c r="L137" s="441"/>
      <c r="M137" s="568"/>
      <c r="N137" s="561"/>
      <c r="O137" s="1851"/>
      <c r="P137" s="1851"/>
      <c r="AH137" s="1858">
        <v>0</v>
      </c>
    </row>
    <row s="13141" customFormat="1" customHeight="1" ht="0.75" hidden="1">
      <c r="A138" s="2007"/>
      <c r="B138" s="2007"/>
      <c r="C138" s="596" t="s">
        <v>1163</v>
      </c>
      <c r="D138" s="2689"/>
      <c r="E138" s="2431"/>
      <c r="F138" s="2610"/>
      <c r="G138" s="627"/>
      <c r="H138" s="1727"/>
      <c r="I138" s="878"/>
      <c r="J138" s="798"/>
      <c r="K138" s="1727"/>
      <c r="L138" s="441"/>
      <c r="M138" s="568"/>
      <c r="N138" s="561"/>
      <c r="O138" s="1851"/>
      <c r="P138" s="1851"/>
      <c r="AH138" s="1858">
        <v>0</v>
      </c>
    </row>
    <row s="13141" customFormat="1" customHeight="1" ht="18.75" hidden="1">
      <c r="A139" s="2007" t="s">
        <v>255</v>
      </c>
      <c r="B139" s="2007" t="s">
        <v>256</v>
      </c>
      <c r="C139" s="596"/>
      <c r="D139" s="2689"/>
      <c r="E139" s="2431"/>
      <c r="F139" s="2610" t="str">
        <f>INDEX(PT_DIFFERENTIATION_VTAR,MATCH(A139,PT_DIFFERENTIATION_VTAR_ID,0))</f>
        <v>Тариф на горячую воду (горячее водоснабжение)</v>
      </c>
      <c r="G139" s="2654" t="str">
        <f>INDEX(PT_DIFFERENTIATION_NTAR,MATCH(B139,PT_DIFFERENTIATION_NTAR_ID,0))</f>
        <v/>
      </c>
      <c r="H139" s="2089"/>
      <c r="I139" s="1966"/>
      <c r="J139" s="2000"/>
      <c r="K139" s="2005"/>
      <c r="L139" s="2089" t="s">
        <v>311</v>
      </c>
      <c r="M139" s="568"/>
      <c r="N139" s="561"/>
      <c r="O139" s="1851"/>
      <c r="P139" s="1851"/>
      <c r="AH139" s="1858">
        <v>0</v>
      </c>
    </row>
    <row s="13141" customFormat="1" customHeight="1" ht="18.75" hidden="1">
      <c r="A140" s="2007"/>
      <c r="B140" s="2007"/>
      <c r="C140" s="596" t="s">
        <v>1154</v>
      </c>
      <c r="D140" s="2689"/>
      <c r="E140" s="2431"/>
      <c r="F140" s="2610"/>
      <c r="G140" s="2654"/>
      <c r="H140" s="1727"/>
      <c r="I140" s="878" t="s">
        <v>1153</v>
      </c>
      <c r="J140" s="798"/>
      <c r="K140" s="1727"/>
      <c r="L140" s="441"/>
      <c r="M140" s="568"/>
      <c r="N140" s="561"/>
      <c r="O140" s="1851"/>
      <c r="P140" s="1851"/>
      <c r="AH140" s="1858">
        <v>0</v>
      </c>
    </row>
    <row s="13141" customFormat="1" customHeight="1" ht="0.75" hidden="1">
      <c r="A141" s="2007"/>
      <c r="B141" s="2007"/>
      <c r="C141" s="596" t="s">
        <v>1163</v>
      </c>
      <c r="D141" s="2689"/>
      <c r="E141" s="2431"/>
      <c r="F141" s="2610"/>
      <c r="G141" s="627"/>
      <c r="H141" s="1727"/>
      <c r="I141" s="878"/>
      <c r="J141" s="798"/>
      <c r="K141" s="1727"/>
      <c r="L141" s="441"/>
      <c r="M141" s="568"/>
      <c r="N141" s="561"/>
      <c r="O141" s="1851"/>
      <c r="P141" s="1851"/>
      <c r="AH141" s="1858">
        <v>0</v>
      </c>
    </row>
    <row s="13141" customFormat="1" customHeight="1" ht="18.75" hidden="1">
      <c r="A142" s="2007" t="s">
        <v>260</v>
      </c>
      <c r="B142" s="2007" t="s">
        <v>261</v>
      </c>
      <c r="C142" s="596"/>
      <c r="D142" s="2689"/>
      <c r="E142" s="2431"/>
      <c r="F142" s="2610" t="str">
        <f>INDEX(PT_DIFFERENTIATION_VTAR,MATCH(A142,PT_DIFFERENTIATION_VTAR_ID,0))</f>
        <v>Тариф на транспортировку горячей воды</v>
      </c>
      <c r="G142" s="2654" t="str">
        <f>INDEX(PT_DIFFERENTIATION_NTAR,MATCH(B142,PT_DIFFERENTIATION_NTAR_ID,0))</f>
        <v/>
      </c>
      <c r="H142" s="2089"/>
      <c r="I142" s="1966"/>
      <c r="J142" s="2000"/>
      <c r="K142" s="2005"/>
      <c r="L142" s="2089" t="s">
        <v>311</v>
      </c>
      <c r="M142" s="568"/>
      <c r="N142" s="561"/>
      <c r="O142" s="1851"/>
      <c r="P142" s="1851"/>
      <c r="AH142" s="1858">
        <v>0</v>
      </c>
    </row>
    <row s="13141" customFormat="1" customHeight="1" ht="18.75" hidden="1">
      <c r="A143" s="2007"/>
      <c r="B143" s="2007"/>
      <c r="C143" s="596" t="s">
        <v>1154</v>
      </c>
      <c r="D143" s="2689"/>
      <c r="E143" s="2431"/>
      <c r="F143" s="2610"/>
      <c r="G143" s="2654"/>
      <c r="H143" s="1727"/>
      <c r="I143" s="878" t="s">
        <v>1153</v>
      </c>
      <c r="J143" s="798"/>
      <c r="K143" s="1727"/>
      <c r="L143" s="441"/>
      <c r="M143" s="568"/>
      <c r="N143" s="561"/>
      <c r="O143" s="1851"/>
      <c r="P143" s="1851"/>
      <c r="AH143" s="1858">
        <v>0</v>
      </c>
    </row>
    <row s="13141" customFormat="1" customHeight="1" ht="0.75" hidden="1">
      <c r="A144" s="2007"/>
      <c r="B144" s="2007"/>
      <c r="C144" s="596" t="s">
        <v>1163</v>
      </c>
      <c r="D144" s="2689"/>
      <c r="E144" s="2431"/>
      <c r="F144" s="2610"/>
      <c r="G144" s="627"/>
      <c r="H144" s="1727"/>
      <c r="I144" s="878"/>
      <c r="J144" s="798"/>
      <c r="K144" s="1727"/>
      <c r="L144" s="441"/>
      <c r="M144" s="568"/>
      <c r="N144" s="561"/>
      <c r="O144" s="1851"/>
      <c r="P144" s="1851"/>
      <c r="AH144" s="1858">
        <v>0</v>
      </c>
    </row>
    <row s="13141" customFormat="1" customHeight="1" ht="18.75" hidden="1">
      <c r="A145" s="2007" t="s">
        <v>265</v>
      </c>
      <c r="B145" s="2007" t="s">
        <v>266</v>
      </c>
      <c r="C145" s="596"/>
      <c r="D145" s="2689"/>
      <c r="E145" s="2431"/>
      <c r="F145" s="2610" t="str">
        <f>INDEX(PT_DIFFERENTIATION_VTAR,MATCH(A145,PT_DIFFERENTIATION_VTAR_ID,0))</f>
        <v>Тариф на подключение (технологическое присоединение) к централизованной системе горячего водоснабжения</v>
      </c>
      <c r="G145" s="2654" t="str">
        <f>INDEX(PT_DIFFERENTIATION_NTAR,MATCH(B145,PT_DIFFERENTIATION_NTAR_ID,0))</f>
        <v/>
      </c>
      <c r="H145" s="2089"/>
      <c r="I145" s="1966"/>
      <c r="J145" s="2000"/>
      <c r="K145" s="2005"/>
      <c r="L145" s="2089" t="s">
        <v>311</v>
      </c>
      <c r="M145" s="568"/>
      <c r="N145" s="561"/>
      <c r="O145" s="1851"/>
      <c r="P145" s="1851"/>
      <c r="AH145" s="1858">
        <v>0</v>
      </c>
    </row>
    <row s="13141" customFormat="1" customHeight="1" ht="18.75" hidden="1">
      <c r="A146" s="2007"/>
      <c r="B146" s="2007"/>
      <c r="C146" s="596" t="s">
        <v>1154</v>
      </c>
      <c r="D146" s="2689"/>
      <c r="E146" s="2431"/>
      <c r="F146" s="2610"/>
      <c r="G146" s="2654"/>
      <c r="H146" s="1727"/>
      <c r="I146" s="878" t="s">
        <v>1153</v>
      </c>
      <c r="J146" s="798"/>
      <c r="K146" s="1727"/>
      <c r="L146" s="441"/>
      <c r="M146" s="568"/>
      <c r="N146" s="561"/>
      <c r="O146" s="1851"/>
      <c r="P146" s="1851"/>
      <c r="AH146" s="1858">
        <v>0</v>
      </c>
    </row>
    <row s="13141" customFormat="1" customHeight="1" ht="0.75" hidden="1">
      <c r="A147" s="2007"/>
      <c r="B147" s="2007"/>
      <c r="C147" s="596" t="s">
        <v>1163</v>
      </c>
      <c r="D147" s="2689"/>
      <c r="E147" s="2431"/>
      <c r="F147" s="2610"/>
      <c r="G147" s="627"/>
      <c r="H147" s="1727"/>
      <c r="I147" s="878"/>
      <c r="J147" s="798"/>
      <c r="K147" s="1727"/>
      <c r="L147" s="441"/>
      <c r="M147" s="568"/>
      <c r="N147" s="561"/>
      <c r="O147" s="1851"/>
      <c r="P147" s="1851"/>
      <c r="AH147" s="1858">
        <v>0</v>
      </c>
    </row>
    <row s="13141" customFormat="1" customHeight="1" ht="18.75" hidden="1">
      <c r="A148" s="2007" t="s">
        <v>270</v>
      </c>
      <c r="B148" s="2007" t="s">
        <v>271</v>
      </c>
      <c r="C148" s="596"/>
      <c r="D148" s="2689"/>
      <c r="E148" s="2431"/>
      <c r="F148" s="2610" t="str">
        <f>INDEX(PT_DIFFERENTIATION_VTAR,MATCH(A148,PT_DIFFERENTIATION_VTAR_ID,0))</f>
        <v>Тариф на водоотведение</v>
      </c>
      <c r="G148" s="2654" t="str">
        <f>INDEX(PT_DIFFERENTIATION_NTAR,MATCH(B148,PT_DIFFERENTIATION_NTAR_ID,0))</f>
        <v/>
      </c>
      <c r="H148" s="2089"/>
      <c r="I148" s="1966"/>
      <c r="J148" s="2000"/>
      <c r="K148" s="2005"/>
      <c r="L148" s="2089" t="s">
        <v>311</v>
      </c>
      <c r="M148" s="568"/>
      <c r="N148" s="561"/>
      <c r="O148" s="1851"/>
      <c r="P148" s="1851"/>
      <c r="AH148" s="1858">
        <v>0</v>
      </c>
    </row>
    <row s="13141" customFormat="1" customHeight="1" ht="18.75" hidden="1">
      <c r="A149" s="2007"/>
      <c r="B149" s="2007"/>
      <c r="C149" s="596" t="s">
        <v>1154</v>
      </c>
      <c r="D149" s="2689"/>
      <c r="E149" s="2431"/>
      <c r="F149" s="2610"/>
      <c r="G149" s="2654"/>
      <c r="H149" s="1727"/>
      <c r="I149" s="878" t="s">
        <v>1153</v>
      </c>
      <c r="J149" s="798"/>
      <c r="K149" s="1727"/>
      <c r="L149" s="441"/>
      <c r="M149" s="568"/>
      <c r="N149" s="561"/>
      <c r="O149" s="1851"/>
      <c r="P149" s="1851"/>
      <c r="AH149" s="1858">
        <v>0</v>
      </c>
    </row>
    <row s="13141" customFormat="1" customHeight="1" ht="0.75" hidden="1">
      <c r="A150" s="2007"/>
      <c r="B150" s="2007"/>
      <c r="C150" s="596" t="s">
        <v>1163</v>
      </c>
      <c r="D150" s="2689"/>
      <c r="E150" s="2431"/>
      <c r="F150" s="2610"/>
      <c r="G150" s="627"/>
      <c r="H150" s="1727"/>
      <c r="I150" s="878"/>
      <c r="J150" s="798"/>
      <c r="K150" s="1727"/>
      <c r="L150" s="441"/>
      <c r="M150" s="568"/>
      <c r="N150" s="561"/>
      <c r="O150" s="1851"/>
      <c r="P150" s="1851"/>
      <c r="AH150" s="1858">
        <v>0</v>
      </c>
    </row>
    <row s="13141" customFormat="1" customHeight="1" ht="18.75" hidden="1">
      <c r="A151" s="2007" t="s">
        <v>275</v>
      </c>
      <c r="B151" s="2007" t="s">
        <v>276</v>
      </c>
      <c r="C151" s="596"/>
      <c r="D151" s="2689"/>
      <c r="E151" s="2431"/>
      <c r="F151" s="2610" t="str">
        <f>INDEX(PT_DIFFERENTIATION_VTAR,MATCH(A151,PT_DIFFERENTIATION_VTAR_ID,0))</f>
        <v>Тариф на транспортировку сточных вод</v>
      </c>
      <c r="G151" s="2654" t="str">
        <f>INDEX(PT_DIFFERENTIATION_NTAR,MATCH(B151,PT_DIFFERENTIATION_NTAR_ID,0))</f>
        <v/>
      </c>
      <c r="H151" s="2089"/>
      <c r="I151" s="1966"/>
      <c r="J151" s="2000"/>
      <c r="K151" s="2005"/>
      <c r="L151" s="2089" t="s">
        <v>311</v>
      </c>
      <c r="M151" s="568"/>
      <c r="N151" s="561"/>
      <c r="O151" s="1851"/>
      <c r="P151" s="1851"/>
      <c r="AH151" s="1858">
        <v>0</v>
      </c>
    </row>
    <row s="13141" customFormat="1" customHeight="1" ht="18.75" hidden="1">
      <c r="A152" s="2007"/>
      <c r="B152" s="2007"/>
      <c r="C152" s="596" t="s">
        <v>1154</v>
      </c>
      <c r="D152" s="2689"/>
      <c r="E152" s="2431"/>
      <c r="F152" s="2610"/>
      <c r="G152" s="2654"/>
      <c r="H152" s="1727"/>
      <c r="I152" s="878" t="s">
        <v>1153</v>
      </c>
      <c r="J152" s="798"/>
      <c r="K152" s="1727"/>
      <c r="L152" s="441"/>
      <c r="M152" s="568"/>
      <c r="N152" s="561"/>
      <c r="O152" s="1851"/>
      <c r="P152" s="1851"/>
      <c r="AH152" s="1858">
        <v>0</v>
      </c>
    </row>
    <row s="13141" customFormat="1" customHeight="1" ht="0.75" hidden="1">
      <c r="A153" s="2007"/>
      <c r="B153" s="2007"/>
      <c r="C153" s="596" t="s">
        <v>1163</v>
      </c>
      <c r="D153" s="2689"/>
      <c r="E153" s="2431"/>
      <c r="F153" s="2610"/>
      <c r="G153" s="627"/>
      <c r="H153" s="1727"/>
      <c r="I153" s="878"/>
      <c r="J153" s="798"/>
      <c r="K153" s="1727"/>
      <c r="L153" s="441"/>
      <c r="M153" s="568"/>
      <c r="N153" s="561"/>
      <c r="O153" s="1851"/>
      <c r="P153" s="1851"/>
      <c r="AH153" s="1858">
        <v>0</v>
      </c>
    </row>
    <row s="13141" customFormat="1" customHeight="1" ht="18.75" hidden="1">
      <c r="A154" s="2007" t="s">
        <v>280</v>
      </c>
      <c r="B154" s="2007" t="s">
        <v>281</v>
      </c>
      <c r="C154" s="596"/>
      <c r="D154" s="2689"/>
      <c r="E154" s="2431"/>
      <c r="F154" s="2610" t="str">
        <f>INDEX(PT_DIFFERENTIATION_VTAR,MATCH(A154,PT_DIFFERENTIATION_VTAR_ID,0))</f>
        <v>Тариф на подключение (технологическое присоединение) к централизованной системе водоотведения</v>
      </c>
      <c r="G154" s="2654" t="str">
        <f>INDEX(PT_DIFFERENTIATION_NTAR,MATCH(B154,PT_DIFFERENTIATION_NTAR_ID,0))</f>
        <v/>
      </c>
      <c r="H154" s="2089"/>
      <c r="I154" s="1966"/>
      <c r="J154" s="2000"/>
      <c r="K154" s="2005"/>
      <c r="L154" s="2089" t="s">
        <v>311</v>
      </c>
      <c r="M154" s="568"/>
      <c r="N154" s="561"/>
      <c r="O154" s="1851"/>
      <c r="P154" s="1851"/>
      <c r="AH154" s="1858">
        <v>0</v>
      </c>
    </row>
    <row s="13141" customFormat="1" customHeight="1" ht="18.75" hidden="1">
      <c r="A155" s="2007"/>
      <c r="B155" s="2007"/>
      <c r="C155" s="596" t="s">
        <v>1154</v>
      </c>
      <c r="D155" s="2689"/>
      <c r="E155" s="2431"/>
      <c r="F155" s="2610"/>
      <c r="G155" s="2654"/>
      <c r="H155" s="1727"/>
      <c r="I155" s="878" t="s">
        <v>1153</v>
      </c>
      <c r="J155" s="798"/>
      <c r="K155" s="1727"/>
      <c r="L155" s="441"/>
      <c r="M155" s="568"/>
      <c r="N155" s="561"/>
      <c r="O155" s="1851"/>
      <c r="P155" s="1851"/>
      <c r="AH155" s="1858">
        <v>0</v>
      </c>
    </row>
    <row s="13141" customFormat="1" customHeight="1" ht="1.05">
      <c r="A156" s="2007"/>
      <c r="B156" s="2007"/>
      <c r="C156" s="596" t="s">
        <v>1163</v>
      </c>
      <c r="D156" s="2689"/>
      <c r="E156" s="2431"/>
      <c r="F156" s="2610"/>
      <c r="G156" s="627"/>
      <c r="H156" s="1727"/>
      <c r="I156" s="878"/>
      <c r="J156" s="798"/>
      <c r="K156" s="1727"/>
      <c r="L156" s="441"/>
      <c r="M156" s="568"/>
      <c r="N156" s="561"/>
      <c r="O156" s="1851"/>
      <c r="P156" s="1851"/>
      <c r="AH156" s="1858">
        <v>1</v>
      </c>
    </row>
    <row customHeight="1" ht="19.95">
      <c r="A157" s="2007"/>
      <c r="B157" s="2007"/>
      <c r="D157" s="603"/>
      <c r="E157" s="374" t="s">
        <v>91</v>
      </c>
      <c r="F15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7" s="2687"/>
      <c r="H157" s="2687"/>
      <c r="I157" s="2687"/>
      <c r="J157" s="2687"/>
      <c r="K157" s="2687"/>
      <c r="L157" s="2687"/>
      <c r="M157" s="524"/>
      <c r="N157" s="561"/>
      <c r="AH157" s="601">
        <v>19</v>
      </c>
    </row>
    <row s="13141" customFormat="1" customHeight="1" ht="60.75" hidden="1">
      <c r="A158" s="2007" t="s">
        <v>155</v>
      </c>
      <c r="B158" s="2007" t="s">
        <v>156</v>
      </c>
      <c r="C158" s="596"/>
      <c r="D158" s="2689"/>
      <c r="E158" s="2431"/>
      <c r="F158" s="2610"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654" t="str">
        <f>INDEX(PT_DIFFERENTIATION_NTAR,MATCH(B158,PT_DIFFERENTIATION_NTAR_ID,0))</f>
        <v/>
      </c>
      <c r="H158" s="2089"/>
      <c r="I158" s="1966"/>
      <c r="J158" s="2000"/>
      <c r="K158" s="2005"/>
      <c r="L158" s="2089" t="s">
        <v>311</v>
      </c>
      <c r="M15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8" s="561"/>
      <c r="O158" s="1851"/>
      <c r="P158" s="1851"/>
      <c r="AH158" s="1858">
        <v>0</v>
      </c>
    </row>
    <row s="13141" customFormat="1" customHeight="1" ht="18.75" hidden="1">
      <c r="A159" s="2007"/>
      <c r="B159" s="2007"/>
      <c r="C159" s="596" t="s">
        <v>1154</v>
      </c>
      <c r="D159" s="2689"/>
      <c r="E159" s="2431"/>
      <c r="F159" s="2610"/>
      <c r="G159" s="2654"/>
      <c r="H159" s="1727"/>
      <c r="I159" s="878" t="s">
        <v>1153</v>
      </c>
      <c r="J159" s="798"/>
      <c r="K159" s="1727"/>
      <c r="L159" s="441"/>
      <c r="M159" s="2397"/>
      <c r="N159" s="561"/>
      <c r="O159" s="1851"/>
      <c r="P159" s="1851"/>
      <c r="AH159" s="1858">
        <v>0</v>
      </c>
    </row>
    <row s="13141" customFormat="1" customHeight="1" ht="0.75" hidden="1">
      <c r="A160" s="2007"/>
      <c r="B160" s="2007"/>
      <c r="C160" s="596" t="s">
        <v>1163</v>
      </c>
      <c r="D160" s="2689"/>
      <c r="E160" s="2431"/>
      <c r="F160" s="2610"/>
      <c r="G160" s="627"/>
      <c r="H160" s="1727"/>
      <c r="I160" s="878"/>
      <c r="J160" s="798"/>
      <c r="K160" s="1727"/>
      <c r="L160" s="441"/>
      <c r="M160" s="2397"/>
      <c r="N160" s="561"/>
      <c r="O160" s="1851"/>
      <c r="P160" s="1851"/>
      <c r="AH160" s="1858">
        <v>0</v>
      </c>
    </row>
    <row s="13141" customFormat="1" customHeight="1" ht="45" hidden="1">
      <c r="A161" s="2007" t="s">
        <v>160</v>
      </c>
      <c r="B161" s="2007" t="s">
        <v>161</v>
      </c>
      <c r="C161" s="596"/>
      <c r="D161" s="2689"/>
      <c r="E161" s="2431"/>
      <c r="F161" s="2610" t="str">
        <f>INDEX(PT_DIFFERENTIATION_VTAR,MATCH(A161,PT_DIFFERENTIATION_VTAR_ID,0))</f>
        <v/>
      </c>
      <c r="G161" s="2654" t="str">
        <f>INDEX(PT_DIFFERENTIATION_NTAR,MATCH(B161,PT_DIFFERENTIATION_NTAR_ID,0))</f>
        <v/>
      </c>
      <c r="H161" s="2089"/>
      <c r="I161" s="1966"/>
      <c r="J161" s="2000"/>
      <c r="K161" s="2005"/>
      <c r="L161" s="2089" t="s">
        <v>311</v>
      </c>
      <c r="M161" s="2398"/>
      <c r="N161" s="561"/>
      <c r="O161" s="1851"/>
      <c r="P161" s="1851"/>
      <c r="AH161" s="1858">
        <v>0</v>
      </c>
    </row>
    <row s="13141" customFormat="1" customHeight="1" ht="18.75" hidden="1">
      <c r="A162" s="2007"/>
      <c r="B162" s="2007"/>
      <c r="C162" s="596" t="s">
        <v>1154</v>
      </c>
      <c r="D162" s="2689"/>
      <c r="E162" s="2431"/>
      <c r="F162" s="2610"/>
      <c r="G162" s="2654"/>
      <c r="H162" s="1727"/>
      <c r="I162" s="878" t="s">
        <v>1153</v>
      </c>
      <c r="J162" s="798"/>
      <c r="K162" s="1727"/>
      <c r="L162" s="441"/>
      <c r="M162" s="2088"/>
      <c r="N162" s="561"/>
      <c r="O162" s="1851"/>
      <c r="P162" s="1851"/>
      <c r="AH162" s="1858">
        <v>0</v>
      </c>
    </row>
    <row s="13141" customFormat="1" customHeight="1" ht="0.75" hidden="1">
      <c r="A163" s="2007"/>
      <c r="B163" s="2007"/>
      <c r="C163" s="596" t="s">
        <v>1163</v>
      </c>
      <c r="D163" s="2689"/>
      <c r="E163" s="2431"/>
      <c r="F163" s="2610"/>
      <c r="G163" s="627"/>
      <c r="H163" s="1727"/>
      <c r="I163" s="878"/>
      <c r="J163" s="798"/>
      <c r="K163" s="1727"/>
      <c r="L163" s="441"/>
      <c r="M163" s="568"/>
      <c r="N163" s="561"/>
      <c r="O163" s="1851"/>
      <c r="P163" s="1851"/>
      <c r="AH163" s="1858">
        <v>0</v>
      </c>
    </row>
    <row s="13141" customFormat="1" customHeight="1" ht="45" hidden="1">
      <c r="A164" s="2007" t="s">
        <v>167</v>
      </c>
      <c r="B164" s="2007" t="s">
        <v>168</v>
      </c>
      <c r="C164" s="596"/>
      <c r="D164" s="2689"/>
      <c r="E164" s="2431"/>
      <c r="F164" s="2610"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654" t="str">
        <f>INDEX(PT_DIFFERENTIATION_NTAR,MATCH(B164,PT_DIFFERENTIATION_NTAR_ID,0))</f>
        <v/>
      </c>
      <c r="H164" s="2089"/>
      <c r="I164" s="1966"/>
      <c r="J164" s="2000"/>
      <c r="K164" s="2005"/>
      <c r="L164" s="2089" t="s">
        <v>311</v>
      </c>
      <c r="M164" s="568"/>
      <c r="N164" s="561"/>
      <c r="O164" s="1851"/>
      <c r="P164" s="1851"/>
      <c r="AH164" s="1858">
        <v>0</v>
      </c>
    </row>
    <row s="13141" customFormat="1" customHeight="1" ht="18.75" hidden="1">
      <c r="A165" s="2007"/>
      <c r="B165" s="2007"/>
      <c r="C165" s="596" t="s">
        <v>1154</v>
      </c>
      <c r="D165" s="2689"/>
      <c r="E165" s="2431"/>
      <c r="F165" s="2610"/>
      <c r="G165" s="2654"/>
      <c r="H165" s="1727"/>
      <c r="I165" s="878" t="s">
        <v>1153</v>
      </c>
      <c r="J165" s="798"/>
      <c r="K165" s="1727"/>
      <c r="L165" s="441"/>
      <c r="M165" s="568"/>
      <c r="N165" s="561"/>
      <c r="O165" s="1851"/>
      <c r="P165" s="1851"/>
      <c r="AH165" s="1858">
        <v>0</v>
      </c>
    </row>
    <row s="13141" customFormat="1" customHeight="1" ht="0.75" hidden="1">
      <c r="A166" s="2007"/>
      <c r="B166" s="2007"/>
      <c r="C166" s="596" t="s">
        <v>1163</v>
      </c>
      <c r="D166" s="2689"/>
      <c r="E166" s="2431"/>
      <c r="F166" s="2610"/>
      <c r="G166" s="627"/>
      <c r="H166" s="1727"/>
      <c r="I166" s="878"/>
      <c r="J166" s="798"/>
      <c r="K166" s="1727"/>
      <c r="L166" s="441"/>
      <c r="M166" s="568"/>
      <c r="N166" s="561"/>
      <c r="O166" s="1851"/>
      <c r="P166" s="1851"/>
      <c r="AH166" s="1858">
        <v>0</v>
      </c>
    </row>
    <row s="13141" customFormat="1" customHeight="1" ht="45" hidden="1">
      <c r="A167" s="2007" t="s">
        <v>173</v>
      </c>
      <c r="B167" s="2007" t="s">
        <v>174</v>
      </c>
      <c r="C167" s="596"/>
      <c r="D167" s="2689"/>
      <c r="E167" s="2431"/>
      <c r="F167" s="2610" t="str">
        <f>INDEX(PT_DIFFERENTIATION_VTAR,MATCH(A167,PT_DIFFERENTIATION_VTAR_ID,0))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7" s="2654" t="str">
        <f>INDEX(PT_DIFFERENTIATION_NTAR,MATCH(B167,PT_DIFFERENTIATION_NTAR_ID,0))</f>
        <v/>
      </c>
      <c r="H167" s="2089"/>
      <c r="I167" s="1966"/>
      <c r="J167" s="2000"/>
      <c r="K167" s="2005"/>
      <c r="L167" s="2089" t="s">
        <v>311</v>
      </c>
      <c r="M167" s="568"/>
      <c r="N167" s="561"/>
      <c r="O167" s="1851"/>
      <c r="P167" s="1851"/>
      <c r="AH167" s="1858">
        <v>0</v>
      </c>
    </row>
    <row s="13141" customFormat="1" customHeight="1" ht="18.75" hidden="1">
      <c r="A168" s="2007"/>
      <c r="B168" s="2007"/>
      <c r="C168" s="596" t="s">
        <v>1154</v>
      </c>
      <c r="D168" s="2689"/>
      <c r="E168" s="2431"/>
      <c r="F168" s="2610"/>
      <c r="G168" s="2654"/>
      <c r="H168" s="1727"/>
      <c r="I168" s="878" t="s">
        <v>1153</v>
      </c>
      <c r="J168" s="798"/>
      <c r="K168" s="1727"/>
      <c r="L168" s="441"/>
      <c r="M168" s="568"/>
      <c r="N168" s="561"/>
      <c r="O168" s="1851"/>
      <c r="P168" s="1851"/>
      <c r="AH168" s="1858">
        <v>0</v>
      </c>
    </row>
    <row s="13141" customFormat="1" customHeight="1" ht="0.75" hidden="1">
      <c r="A169" s="2007"/>
      <c r="B169" s="2007"/>
      <c r="C169" s="596" t="s">
        <v>1163</v>
      </c>
      <c r="D169" s="2689"/>
      <c r="E169" s="2431"/>
      <c r="F169" s="2610"/>
      <c r="G169" s="627"/>
      <c r="H169" s="1727"/>
      <c r="I169" s="878"/>
      <c r="J169" s="798"/>
      <c r="K169" s="1727"/>
      <c r="L169" s="441"/>
      <c r="M169" s="568"/>
      <c r="N169" s="561"/>
      <c r="O169" s="1851"/>
      <c r="P169" s="1851"/>
      <c r="AH169" s="1858">
        <v>0</v>
      </c>
    </row>
    <row s="13141" customFormat="1" customHeight="1" ht="18.75" hidden="1">
      <c r="A170" s="2007" t="s">
        <v>179</v>
      </c>
      <c r="B170" s="2007" t="s">
        <v>180</v>
      </c>
      <c r="C170" s="596"/>
      <c r="D170" s="2689"/>
      <c r="E170" s="2431"/>
      <c r="F170" s="2610" t="str">
        <f>INDEX(PT_DIFFERENTIATION_VTAR,MATCH(A170,PT_DIFFERENTIATION_VTAR_ID,0))</f>
        <v>Тарифы на услуги по передаче тепловой энергии</v>
      </c>
      <c r="G170" s="2654" t="str">
        <f>INDEX(PT_DIFFERENTIATION_NTAR,MATCH(B170,PT_DIFFERENTIATION_NTAR_ID,0))</f>
        <v/>
      </c>
      <c r="H170" s="2089"/>
      <c r="I170" s="1966"/>
      <c r="J170" s="2000"/>
      <c r="K170" s="2005"/>
      <c r="L170" s="2089" t="s">
        <v>311</v>
      </c>
      <c r="M170" s="568"/>
      <c r="N170" s="561"/>
      <c r="O170" s="1851"/>
      <c r="P170" s="1851"/>
      <c r="AH170" s="1858">
        <v>0</v>
      </c>
    </row>
    <row s="13141" customFormat="1" customHeight="1" ht="18.75" hidden="1">
      <c r="A171" s="2007"/>
      <c r="B171" s="2007"/>
      <c r="C171" s="596" t="s">
        <v>1154</v>
      </c>
      <c r="D171" s="2689"/>
      <c r="E171" s="2431"/>
      <c r="F171" s="2610"/>
      <c r="G171" s="2654"/>
      <c r="H171" s="1727"/>
      <c r="I171" s="878" t="s">
        <v>1153</v>
      </c>
      <c r="J171" s="798"/>
      <c r="K171" s="1727"/>
      <c r="L171" s="441"/>
      <c r="M171" s="568"/>
      <c r="N171" s="561"/>
      <c r="O171" s="1851"/>
      <c r="P171" s="1851"/>
      <c r="AH171" s="1858">
        <v>0</v>
      </c>
    </row>
    <row s="13141" customFormat="1" customHeight="1" ht="0.75" hidden="1">
      <c r="A172" s="2007"/>
      <c r="B172" s="2007"/>
      <c r="C172" s="596" t="s">
        <v>1163</v>
      </c>
      <c r="D172" s="2689"/>
      <c r="E172" s="2431"/>
      <c r="F172" s="2610"/>
      <c r="G172" s="627"/>
      <c r="H172" s="1727"/>
      <c r="I172" s="878"/>
      <c r="J172" s="798"/>
      <c r="K172" s="1727"/>
      <c r="L172" s="441"/>
      <c r="M172" s="568"/>
      <c r="N172" s="561"/>
      <c r="O172" s="1851"/>
      <c r="P172" s="1851"/>
      <c r="AH172" s="1858">
        <v>0</v>
      </c>
    </row>
    <row s="13141" customFormat="1" customHeight="1" ht="18.75" hidden="1">
      <c r="A173" s="2007" t="s">
        <v>185</v>
      </c>
      <c r="B173" s="2007" t="s">
        <v>186</v>
      </c>
      <c r="C173" s="596"/>
      <c r="D173" s="2689"/>
      <c r="E173" s="2431"/>
      <c r="F173" s="2610" t="str">
        <f>INDEX(PT_DIFFERENTIATION_VTAR,MATCH(A173,PT_DIFFERENTIATION_VTAR_ID,0))</f>
        <v>Тарифы на услуги по передаче теплоносителя</v>
      </c>
      <c r="G173" s="2654" t="str">
        <f>INDEX(PT_DIFFERENTIATION_NTAR,MATCH(B173,PT_DIFFERENTIATION_NTAR_ID,0))</f>
        <v/>
      </c>
      <c r="H173" s="2089"/>
      <c r="I173" s="1966"/>
      <c r="J173" s="2000"/>
      <c r="K173" s="2005"/>
      <c r="L173" s="2089" t="s">
        <v>311</v>
      </c>
      <c r="M173" s="568"/>
      <c r="N173" s="561"/>
      <c r="O173" s="1851"/>
      <c r="P173" s="1851"/>
      <c r="AH173" s="1858">
        <v>0</v>
      </c>
    </row>
    <row s="13141" customFormat="1" customHeight="1" ht="18.75" hidden="1">
      <c r="A174" s="2007"/>
      <c r="B174" s="2007"/>
      <c r="C174" s="596" t="s">
        <v>1154</v>
      </c>
      <c r="D174" s="2689"/>
      <c r="E174" s="2431"/>
      <c r="F174" s="2610"/>
      <c r="G174" s="2654"/>
      <c r="H174" s="1727"/>
      <c r="I174" s="878" t="s">
        <v>1153</v>
      </c>
      <c r="J174" s="798"/>
      <c r="K174" s="1727"/>
      <c r="L174" s="441"/>
      <c r="M174" s="568"/>
      <c r="N174" s="561"/>
      <c r="O174" s="1851"/>
      <c r="P174" s="1851"/>
      <c r="AH174" s="1858">
        <v>0</v>
      </c>
    </row>
    <row s="13141" customFormat="1" customHeight="1" ht="0.75" hidden="1">
      <c r="A175" s="2007"/>
      <c r="B175" s="2007"/>
      <c r="C175" s="596" t="s">
        <v>1163</v>
      </c>
      <c r="D175" s="2689"/>
      <c r="E175" s="2431"/>
      <c r="F175" s="2610"/>
      <c r="G175" s="627"/>
      <c r="H175" s="1727"/>
      <c r="I175" s="878"/>
      <c r="J175" s="798"/>
      <c r="K175" s="1727"/>
      <c r="L175" s="441"/>
      <c r="M175" s="568"/>
      <c r="N175" s="561"/>
      <c r="O175" s="1851"/>
      <c r="P175" s="1851"/>
      <c r="AH175" s="1858">
        <v>0</v>
      </c>
    </row>
    <row s="13141" customFormat="1" customHeight="1" ht="18.75" hidden="1">
      <c r="A176" s="2007" t="s">
        <v>191</v>
      </c>
      <c r="B176" s="2007" t="s">
        <v>192</v>
      </c>
      <c r="C176" s="596"/>
      <c r="D176" s="2689"/>
      <c r="E176" s="2431"/>
      <c r="F176" s="2610" t="str">
        <f>INDEX(PT_DIFFERENTIATION_VTAR,MATCH(A176,PT_DIFFERENTIATION_VTAR_ID,0))</f>
        <v>Плата за услуги по поддержанию резервной тепловой мощности при отсутствии потребления тепловой энергии</v>
      </c>
      <c r="G176" s="2654" t="str">
        <f>INDEX(PT_DIFFERENTIATION_NTAR,MATCH(B176,PT_DIFFERENTIATION_NTAR_ID,0))</f>
        <v/>
      </c>
      <c r="H176" s="2089"/>
      <c r="I176" s="1966"/>
      <c r="J176" s="2000"/>
      <c r="K176" s="2005"/>
      <c r="L176" s="2089" t="s">
        <v>311</v>
      </c>
      <c r="M176" s="568"/>
      <c r="N176" s="561"/>
      <c r="O176" s="1851"/>
      <c r="P176" s="1851"/>
      <c r="AH176" s="1858">
        <v>0</v>
      </c>
    </row>
    <row s="13141" customFormat="1" customHeight="1" ht="18.75" hidden="1">
      <c r="A177" s="2007"/>
      <c r="B177" s="2007"/>
      <c r="C177" s="596" t="s">
        <v>1154</v>
      </c>
      <c r="D177" s="2689"/>
      <c r="E177" s="2431"/>
      <c r="F177" s="2610"/>
      <c r="G177" s="2654"/>
      <c r="H177" s="1727"/>
      <c r="I177" s="878" t="s">
        <v>1153</v>
      </c>
      <c r="J177" s="798"/>
      <c r="K177" s="1727"/>
      <c r="L177" s="441"/>
      <c r="M177" s="568"/>
      <c r="N177" s="561"/>
      <c r="O177" s="1851"/>
      <c r="P177" s="1851"/>
      <c r="AH177" s="1858">
        <v>0</v>
      </c>
    </row>
    <row s="13141" customFormat="1" customHeight="1" ht="0.75" hidden="1">
      <c r="A178" s="2007"/>
      <c r="B178" s="2007"/>
      <c r="C178" s="596" t="s">
        <v>1163</v>
      </c>
      <c r="D178" s="2689"/>
      <c r="E178" s="2431"/>
      <c r="F178" s="2610"/>
      <c r="G178" s="627"/>
      <c r="H178" s="1727"/>
      <c r="I178" s="878"/>
      <c r="J178" s="798"/>
      <c r="K178" s="1727"/>
      <c r="L178" s="441"/>
      <c r="M178" s="568"/>
      <c r="N178" s="561"/>
      <c r="O178" s="1851"/>
      <c r="P178" s="1851"/>
      <c r="AH178" s="1858">
        <v>0</v>
      </c>
    </row>
    <row s="13141" customFormat="1" customHeight="1" ht="18.75" hidden="1">
      <c r="A179" s="2007" t="s">
        <v>197</v>
      </c>
      <c r="B179" s="2007" t="s">
        <v>198</v>
      </c>
      <c r="C179" s="596"/>
      <c r="D179" s="2689"/>
      <c r="E179" s="2431"/>
      <c r="F179" s="2610" t="str">
        <f>INDEX(PT_DIFFERENTIATION_VTAR,MATCH(A179,PT_DIFFERENTIATION_VTAR_ID,0))</f>
        <v>Плата за подключение (технологическое присоединение) к системе теплоснабжения</v>
      </c>
      <c r="G179" s="2654" t="str">
        <f>INDEX(PT_DIFFERENTIATION_NTAR,MATCH(B179,PT_DIFFERENTIATION_NTAR_ID,0))</f>
        <v/>
      </c>
      <c r="H179" s="2089"/>
      <c r="I179" s="1966"/>
      <c r="J179" s="2000"/>
      <c r="K179" s="2005"/>
      <c r="L179" s="2089" t="s">
        <v>311</v>
      </c>
      <c r="M179" s="568"/>
      <c r="N179" s="561"/>
      <c r="O179" s="1851"/>
      <c r="P179" s="1851"/>
      <c r="AH179" s="1858">
        <v>0</v>
      </c>
    </row>
    <row s="13141" customFormat="1" customHeight="1" ht="18.75" hidden="1">
      <c r="A180" s="2007"/>
      <c r="B180" s="2007"/>
      <c r="C180" s="596" t="s">
        <v>1154</v>
      </c>
      <c r="D180" s="2689"/>
      <c r="E180" s="2431"/>
      <c r="F180" s="2610"/>
      <c r="G180" s="2654"/>
      <c r="H180" s="1727"/>
      <c r="I180" s="878" t="s">
        <v>1153</v>
      </c>
      <c r="J180" s="798"/>
      <c r="K180" s="1727"/>
      <c r="L180" s="441"/>
      <c r="M180" s="568"/>
      <c r="N180" s="561"/>
      <c r="O180" s="1851"/>
      <c r="P180" s="1851"/>
      <c r="AH180" s="1858">
        <v>0</v>
      </c>
    </row>
    <row s="13141" customFormat="1" customHeight="1" ht="0.75" hidden="1">
      <c r="A181" s="2007"/>
      <c r="B181" s="2007"/>
      <c r="C181" s="596" t="s">
        <v>1163</v>
      </c>
      <c r="D181" s="2689"/>
      <c r="E181" s="2431"/>
      <c r="F181" s="2610"/>
      <c r="G181" s="627"/>
      <c r="H181" s="1727"/>
      <c r="I181" s="878"/>
      <c r="J181" s="798"/>
      <c r="K181" s="1727"/>
      <c r="L181" s="441"/>
      <c r="M181" s="568"/>
      <c r="N181" s="561"/>
      <c r="O181" s="1851"/>
      <c r="P181" s="1851"/>
      <c r="AH181" s="1858">
        <v>0</v>
      </c>
    </row>
    <row s="13141" customFormat="1" customHeight="1" ht="18.75" hidden="1">
      <c r="A182" s="2007" t="s">
        <v>203</v>
      </c>
      <c r="B182" s="2007" t="s">
        <v>204</v>
      </c>
      <c r="C182" s="596"/>
      <c r="D182" s="2689"/>
      <c r="E182" s="2431"/>
      <c r="F182" s="2610" t="str">
        <f>INDEX(PT_DIFFERENTIATION_VTAR,MATCH(A182,PT_DIFFERENTIATION_VTAR_ID,0))</f>
        <v>Плата за подключение (технологическое присоединение) к системе теплоснабжения (индивидуальная)</v>
      </c>
      <c r="G182" s="2654" t="str">
        <f>INDEX(PT_DIFFERENTIATION_NTAR,MATCH(B182,PT_DIFFERENTIATION_NTAR_ID,0))</f>
        <v/>
      </c>
      <c r="H182" s="2216"/>
      <c r="I182" s="1966"/>
      <c r="J182" s="2000"/>
      <c r="K182" s="2005"/>
      <c r="L182" s="2216" t="s">
        <v>311</v>
      </c>
      <c r="M182" s="568"/>
      <c r="N182" s="561"/>
      <c r="O182" s="1851"/>
      <c r="P182" s="1851"/>
      <c r="AH182" s="1858">
        <v>0</v>
      </c>
    </row>
    <row s="13141" customFormat="1" customHeight="1" ht="18.75" hidden="1">
      <c r="A183" s="2007"/>
      <c r="B183" s="2007"/>
      <c r="C183" s="596" t="s">
        <v>1154</v>
      </c>
      <c r="D183" s="2689"/>
      <c r="E183" s="2431"/>
      <c r="F183" s="2610"/>
      <c r="G183" s="2654"/>
      <c r="H183" s="1727"/>
      <c r="I183" s="878" t="s">
        <v>1153</v>
      </c>
      <c r="J183" s="798"/>
      <c r="K183" s="1727"/>
      <c r="L183" s="441"/>
      <c r="M183" s="568"/>
      <c r="N183" s="561"/>
      <c r="O183" s="1851"/>
      <c r="P183" s="1851"/>
      <c r="AH183" s="1858">
        <v>0</v>
      </c>
    </row>
    <row s="13141" customFormat="1" customHeight="1" ht="0.75" hidden="1">
      <c r="A184" s="2007"/>
      <c r="B184" s="2007"/>
      <c r="C184" s="596" t="s">
        <v>1163</v>
      </c>
      <c r="D184" s="2689"/>
      <c r="E184" s="2431"/>
      <c r="F184" s="2610"/>
      <c r="G184" s="627"/>
      <c r="H184" s="1727"/>
      <c r="I184" s="878"/>
      <c r="J184" s="798"/>
      <c r="K184" s="1727"/>
      <c r="L184" s="441"/>
      <c r="M184" s="568"/>
      <c r="N184" s="561"/>
      <c r="O184" s="1851"/>
      <c r="P184" s="1851"/>
      <c r="AH184" s="1858">
        <v>0</v>
      </c>
    </row>
    <row s="13141" customFormat="1" customHeight="1" ht="18.75">
      <c r="A185" s="2007" t="s">
        <v>225</v>
      </c>
      <c r="B185" s="2007" t="s">
        <v>226</v>
      </c>
      <c r="C185" s="596"/>
      <c r="D185" s="2689"/>
      <c r="E185" s="2431"/>
      <c r="F185" s="2610" t="str">
        <f>INDEX(PT_DIFFERENTIATION_VTAR,MATCH(A185,PT_DIFFERENTIATION_VTAR_ID,0))</f>
        <v>Тариф на питьевую воду (питьевое водоснабжение)</v>
      </c>
      <c r="G185" s="2654" t="str">
        <f>INDEX(PT_DIFFERENTIATION_NTAR,MATCH(B185,PT_DIFFERENTIATION_NTAR_ID,0))</f>
        <v>Тариф  на  холодную  воду  питьевую</v>
      </c>
      <c r="H185" s="2089"/>
      <c r="I185" s="8886">
        <v>45292</v>
      </c>
      <c r="J185" s="8887">
        <v>45657</v>
      </c>
      <c r="K185" s="2005">
        <v>10904.02</v>
      </c>
      <c r="L185" s="2089" t="s">
        <v>311</v>
      </c>
      <c r="M185" s="568"/>
      <c r="N185" s="561"/>
      <c r="O185" s="1851"/>
      <c r="P185" s="1851"/>
      <c r="AH185" s="1858">
        <v>0</v>
      </c>
    </row>
    <row s="15853" customFormat="1" customHeight="1" ht="56.25">
      <c r="A186" s="8892"/>
      <c r="B186" s="8892"/>
      <c r="C186" s="8893"/>
      <c r="D186" s="8894"/>
      <c r="E186" s="8895"/>
      <c r="F186" s="8895"/>
      <c r="G186" s="8895"/>
      <c r="H186" s="8896" t="s">
        <v>491</v>
      </c>
      <c r="I186" s="8886">
        <v>45658</v>
      </c>
      <c r="J186" s="8887">
        <v>46022</v>
      </c>
      <c r="K186" s="8897">
        <v>10703.07</v>
      </c>
      <c r="L186" s="8898" t="s">
        <v>311</v>
      </c>
      <c r="M186" s="8899"/>
      <c r="N186" s="8900"/>
      <c r="O186" s="8901"/>
      <c r="P186" s="8901"/>
      <c r="Q186" s="8902"/>
      <c r="R186" s="8902"/>
      <c r="S186" s="8902"/>
      <c r="T186" s="8902"/>
      <c r="U186" s="8902"/>
      <c r="V186" s="8902"/>
      <c r="W186" s="8902"/>
      <c r="X186" s="8902"/>
      <c r="Y186" s="8902"/>
      <c r="Z186" s="8902"/>
      <c r="AA186" s="8902"/>
      <c r="AB186" s="8902"/>
      <c r="AC186" s="8902"/>
      <c r="AD186" s="8902"/>
      <c r="AE186" s="8902"/>
      <c r="AF186" s="8902"/>
      <c r="AG186" s="8902"/>
      <c r="AH186" s="8902">
        <v>0</v>
      </c>
    </row>
    <row s="15853" customFormat="1" customHeight="1" ht="56.25">
      <c r="A187" s="8892"/>
      <c r="B187" s="8892"/>
      <c r="C187" s="8893"/>
      <c r="D187" s="8894"/>
      <c r="E187" s="8895"/>
      <c r="F187" s="8895"/>
      <c r="G187" s="8895"/>
      <c r="H187" s="8896" t="s">
        <v>491</v>
      </c>
      <c r="I187" s="8886">
        <v>46023</v>
      </c>
      <c r="J187" s="8887">
        <v>46387</v>
      </c>
      <c r="K187" s="8897">
        <v>10904.02</v>
      </c>
      <c r="L187" s="8898" t="s">
        <v>311</v>
      </c>
      <c r="M187" s="8899"/>
      <c r="N187" s="8900"/>
      <c r="O187" s="8901"/>
      <c r="P187" s="8901"/>
      <c r="Q187" s="8902"/>
      <c r="R187" s="8902"/>
      <c r="S187" s="8902"/>
      <c r="T187" s="8902"/>
      <c r="U187" s="8902"/>
      <c r="V187" s="8902"/>
      <c r="W187" s="8902"/>
      <c r="X187" s="8902"/>
      <c r="Y187" s="8902"/>
      <c r="Z187" s="8902"/>
      <c r="AA187" s="8902"/>
      <c r="AB187" s="8902"/>
      <c r="AC187" s="8902"/>
      <c r="AD187" s="8902"/>
      <c r="AE187" s="8902"/>
      <c r="AF187" s="8902"/>
      <c r="AG187" s="8902"/>
      <c r="AH187" s="8902">
        <v>0</v>
      </c>
    </row>
    <row s="15853" customFormat="1" customHeight="1" ht="56.25">
      <c r="A188" s="8892"/>
      <c r="B188" s="8892"/>
      <c r="C188" s="8893"/>
      <c r="D188" s="8894"/>
      <c r="E188" s="8895"/>
      <c r="F188" s="8895"/>
      <c r="G188" s="8895"/>
      <c r="H188" s="8896" t="s">
        <v>491</v>
      </c>
      <c r="I188" s="8886">
        <v>46388</v>
      </c>
      <c r="J188" s="8887">
        <v>46752</v>
      </c>
      <c r="K188" s="8897">
        <v>10904.02</v>
      </c>
      <c r="L188" s="8898" t="s">
        <v>311</v>
      </c>
      <c r="M188" s="8899"/>
      <c r="N188" s="8900"/>
      <c r="O188" s="8901"/>
      <c r="P188" s="8901"/>
      <c r="Q188" s="8902"/>
      <c r="R188" s="8902"/>
      <c r="S188" s="8902"/>
      <c r="T188" s="8902"/>
      <c r="U188" s="8902"/>
      <c r="V188" s="8902"/>
      <c r="W188" s="8902"/>
      <c r="X188" s="8902"/>
      <c r="Y188" s="8902"/>
      <c r="Z188" s="8902"/>
      <c r="AA188" s="8902"/>
      <c r="AB188" s="8902"/>
      <c r="AC188" s="8902"/>
      <c r="AD188" s="8902"/>
      <c r="AE188" s="8902"/>
      <c r="AF188" s="8902"/>
      <c r="AG188" s="8902"/>
      <c r="AH188" s="8902">
        <v>0</v>
      </c>
    </row>
    <row s="15853" customFormat="1" customHeight="1" ht="56.25">
      <c r="A189" s="8892"/>
      <c r="B189" s="8892"/>
      <c r="C189" s="8893"/>
      <c r="D189" s="8894"/>
      <c r="E189" s="8895"/>
      <c r="F189" s="8895"/>
      <c r="G189" s="8895"/>
      <c r="H189" s="8896" t="s">
        <v>491</v>
      </c>
      <c r="I189" s="8886">
        <v>46753</v>
      </c>
      <c r="J189" s="8887">
        <v>47118</v>
      </c>
      <c r="K189" s="8897">
        <v>10904.02</v>
      </c>
      <c r="L189" s="8898" t="s">
        <v>311</v>
      </c>
      <c r="M189" s="8899"/>
      <c r="N189" s="8900"/>
      <c r="O189" s="8901"/>
      <c r="P189" s="8901"/>
      <c r="Q189" s="8902"/>
      <c r="R189" s="8902"/>
      <c r="S189" s="8902"/>
      <c r="T189" s="8902"/>
      <c r="U189" s="8902"/>
      <c r="V189" s="8902"/>
      <c r="W189" s="8902"/>
      <c r="X189" s="8902"/>
      <c r="Y189" s="8902"/>
      <c r="Z189" s="8902"/>
      <c r="AA189" s="8902"/>
      <c r="AB189" s="8902"/>
      <c r="AC189" s="8902"/>
      <c r="AD189" s="8902"/>
      <c r="AE189" s="8902"/>
      <c r="AF189" s="8902"/>
      <c r="AG189" s="8902"/>
      <c r="AH189" s="8902">
        <v>0</v>
      </c>
    </row>
    <row s="13141" customFormat="1" customHeight="1" ht="18.75">
      <c r="A190" s="2007"/>
      <c r="B190" s="2007"/>
      <c r="C190" s="596" t="s">
        <v>1154</v>
      </c>
      <c r="D190" s="2689"/>
      <c r="E190" s="2431"/>
      <c r="F190" s="2610"/>
      <c r="G190" s="2654"/>
      <c r="H190" s="1727"/>
      <c r="I190" s="878" t="s">
        <v>1153</v>
      </c>
      <c r="J190" s="798"/>
      <c r="K190" s="1727"/>
      <c r="L190" s="441"/>
      <c r="M190" s="568"/>
      <c r="N190" s="561"/>
      <c r="O190" s="1851"/>
      <c r="P190" s="1851"/>
      <c r="AH190" s="1858">
        <v>0</v>
      </c>
    </row>
    <row s="13141" customFormat="1" customHeight="1" ht="0.75">
      <c r="A191" s="2007"/>
      <c r="B191" s="2007"/>
      <c r="C191" s="596" t="s">
        <v>1163</v>
      </c>
      <c r="D191" s="2689"/>
      <c r="E191" s="2431"/>
      <c r="F191" s="2610"/>
      <c r="G191" s="627"/>
      <c r="H191" s="1727"/>
      <c r="I191" s="878"/>
      <c r="J191" s="798"/>
      <c r="K191" s="1727"/>
      <c r="L191" s="441"/>
      <c r="M191" s="568"/>
      <c r="N191" s="561"/>
      <c r="O191" s="1851"/>
      <c r="P191" s="1851"/>
      <c r="AH191" s="1858">
        <v>0</v>
      </c>
    </row>
    <row s="13141" customFormat="1" customHeight="1" ht="18.75">
      <c r="A192" s="2007" t="s">
        <v>235</v>
      </c>
      <c r="B192" s="2007" t="s">
        <v>236</v>
      </c>
      <c r="C192" s="596"/>
      <c r="D192" s="2689"/>
      <c r="E192" s="2431"/>
      <c r="F192" s="2610" t="str">
        <f>INDEX(PT_DIFFERENTIATION_VTAR,MATCH(A192,PT_DIFFERENTIATION_VTAR_ID,0))</f>
        <v>Тариф на техническую воду</v>
      </c>
      <c r="G192" s="2654" t="str">
        <f>INDEX(PT_DIFFERENTIATION_NTAR,MATCH(B192,PT_DIFFERENTIATION_NTAR_ID,0))</f>
        <v>Тариф  на  техническую  воду</v>
      </c>
      <c r="H192" s="2089"/>
      <c r="I192" s="8886">
        <v>45292</v>
      </c>
      <c r="J192" s="8887">
        <v>45657</v>
      </c>
      <c r="K192" s="2005">
        <v>1707.93</v>
      </c>
      <c r="L192" s="2089" t="s">
        <v>311</v>
      </c>
      <c r="M192" s="568"/>
      <c r="N192" s="561"/>
      <c r="O192" s="1851"/>
      <c r="P192" s="1851"/>
      <c r="AH192" s="1858">
        <v>0</v>
      </c>
    </row>
    <row s="15853" customFormat="1" customHeight="1" ht="56.25">
      <c r="A193" s="8892"/>
      <c r="B193" s="8892"/>
      <c r="C193" s="8893"/>
      <c r="D193" s="8894"/>
      <c r="E193" s="8895"/>
      <c r="F193" s="8895"/>
      <c r="G193" s="8895"/>
      <c r="H193" s="8896" t="s">
        <v>491</v>
      </c>
      <c r="I193" s="8886">
        <v>45658</v>
      </c>
      <c r="J193" s="8887">
        <v>46022</v>
      </c>
      <c r="K193" s="8897">
        <v>1658.8</v>
      </c>
      <c r="L193" s="8898" t="s">
        <v>311</v>
      </c>
      <c r="M193" s="8899"/>
      <c r="N193" s="8900"/>
      <c r="O193" s="8901"/>
      <c r="P193" s="8901"/>
      <c r="Q193" s="8902"/>
      <c r="R193" s="8902"/>
      <c r="S193" s="8902"/>
      <c r="T193" s="8902"/>
      <c r="U193" s="8902"/>
      <c r="V193" s="8902"/>
      <c r="W193" s="8902"/>
      <c r="X193" s="8902"/>
      <c r="Y193" s="8902"/>
      <c r="Z193" s="8902"/>
      <c r="AA193" s="8902"/>
      <c r="AB193" s="8902"/>
      <c r="AC193" s="8902"/>
      <c r="AD193" s="8902"/>
      <c r="AE193" s="8902"/>
      <c r="AF193" s="8902"/>
      <c r="AG193" s="8902"/>
      <c r="AH193" s="8902">
        <v>0</v>
      </c>
    </row>
    <row s="15853" customFormat="1" customHeight="1" ht="56.25">
      <c r="A194" s="8892"/>
      <c r="B194" s="8892"/>
      <c r="C194" s="8893"/>
      <c r="D194" s="8894"/>
      <c r="E194" s="8895"/>
      <c r="F194" s="8895"/>
      <c r="G194" s="8895"/>
      <c r="H194" s="8896" t="s">
        <v>491</v>
      </c>
      <c r="I194" s="8886">
        <v>46023</v>
      </c>
      <c r="J194" s="8887">
        <v>46387</v>
      </c>
      <c r="K194" s="8897">
        <v>1707.93</v>
      </c>
      <c r="L194" s="8898" t="s">
        <v>311</v>
      </c>
      <c r="M194" s="8899"/>
      <c r="N194" s="8900"/>
      <c r="O194" s="8901"/>
      <c r="P194" s="8901"/>
      <c r="Q194" s="8902"/>
      <c r="R194" s="8902"/>
      <c r="S194" s="8902"/>
      <c r="T194" s="8902"/>
      <c r="U194" s="8902"/>
      <c r="V194" s="8902"/>
      <c r="W194" s="8902"/>
      <c r="X194" s="8902"/>
      <c r="Y194" s="8902"/>
      <c r="Z194" s="8902"/>
      <c r="AA194" s="8902"/>
      <c r="AB194" s="8902"/>
      <c r="AC194" s="8902"/>
      <c r="AD194" s="8902"/>
      <c r="AE194" s="8902"/>
      <c r="AF194" s="8902"/>
      <c r="AG194" s="8902"/>
      <c r="AH194" s="8902">
        <v>0</v>
      </c>
    </row>
    <row s="15853" customFormat="1" customHeight="1" ht="56.25">
      <c r="A195" s="8892"/>
      <c r="B195" s="8892"/>
      <c r="C195" s="8893"/>
      <c r="D195" s="8894"/>
      <c r="E195" s="8895"/>
      <c r="F195" s="8895"/>
      <c r="G195" s="8895"/>
      <c r="H195" s="8896" t="s">
        <v>491</v>
      </c>
      <c r="I195" s="8886">
        <v>46388</v>
      </c>
      <c r="J195" s="8887">
        <v>46752</v>
      </c>
      <c r="K195" s="8897">
        <v>1707.93</v>
      </c>
      <c r="L195" s="8898" t="s">
        <v>311</v>
      </c>
      <c r="M195" s="8899"/>
      <c r="N195" s="8900"/>
      <c r="O195" s="8901"/>
      <c r="P195" s="8901"/>
      <c r="Q195" s="8902"/>
      <c r="R195" s="8902"/>
      <c r="S195" s="8902"/>
      <c r="T195" s="8902"/>
      <c r="U195" s="8902"/>
      <c r="V195" s="8902"/>
      <c r="W195" s="8902"/>
      <c r="X195" s="8902"/>
      <c r="Y195" s="8902"/>
      <c r="Z195" s="8902"/>
      <c r="AA195" s="8902"/>
      <c r="AB195" s="8902"/>
      <c r="AC195" s="8902"/>
      <c r="AD195" s="8902"/>
      <c r="AE195" s="8902"/>
      <c r="AF195" s="8902"/>
      <c r="AG195" s="8902"/>
      <c r="AH195" s="8902">
        <v>0</v>
      </c>
    </row>
    <row s="15853" customFormat="1" customHeight="1" ht="56.25">
      <c r="A196" s="8892"/>
      <c r="B196" s="8892"/>
      <c r="C196" s="8893"/>
      <c r="D196" s="8894"/>
      <c r="E196" s="8895"/>
      <c r="F196" s="8895"/>
      <c r="G196" s="8895"/>
      <c r="H196" s="8896" t="s">
        <v>491</v>
      </c>
      <c r="I196" s="8886">
        <v>46753</v>
      </c>
      <c r="J196" s="8887">
        <v>47118</v>
      </c>
      <c r="K196" s="8897">
        <v>1707.93</v>
      </c>
      <c r="L196" s="8898" t="s">
        <v>311</v>
      </c>
      <c r="M196" s="8899"/>
      <c r="N196" s="8900"/>
      <c r="O196" s="8901"/>
      <c r="P196" s="8901"/>
      <c r="Q196" s="8902"/>
      <c r="R196" s="8902"/>
      <c r="S196" s="8902"/>
      <c r="T196" s="8902"/>
      <c r="U196" s="8902"/>
      <c r="V196" s="8902"/>
      <c r="W196" s="8902"/>
      <c r="X196" s="8902"/>
      <c r="Y196" s="8902"/>
      <c r="Z196" s="8902"/>
      <c r="AA196" s="8902"/>
      <c r="AB196" s="8902"/>
      <c r="AC196" s="8902"/>
      <c r="AD196" s="8902"/>
      <c r="AE196" s="8902"/>
      <c r="AF196" s="8902"/>
      <c r="AG196" s="8902"/>
      <c r="AH196" s="8902">
        <v>0</v>
      </c>
    </row>
    <row s="13141" customFormat="1" customHeight="1" ht="18.75">
      <c r="A197" s="2007"/>
      <c r="B197" s="2007"/>
      <c r="C197" s="596" t="s">
        <v>1154</v>
      </c>
      <c r="D197" s="2689"/>
      <c r="E197" s="2431"/>
      <c r="F197" s="2610"/>
      <c r="G197" s="2654"/>
      <c r="H197" s="1727"/>
      <c r="I197" s="878" t="s">
        <v>1153</v>
      </c>
      <c r="J197" s="798"/>
      <c r="K197" s="1727"/>
      <c r="L197" s="441"/>
      <c r="M197" s="568"/>
      <c r="N197" s="561"/>
      <c r="O197" s="1851"/>
      <c r="P197" s="1851"/>
      <c r="AH197" s="1858">
        <v>0</v>
      </c>
    </row>
    <row s="13141" customFormat="1" customHeight="1" ht="0.75">
      <c r="A198" s="2007"/>
      <c r="B198" s="2007"/>
      <c r="C198" s="596" t="s">
        <v>1163</v>
      </c>
      <c r="D198" s="2689"/>
      <c r="E198" s="2431"/>
      <c r="F198" s="2610"/>
      <c r="G198" s="627"/>
      <c r="H198" s="1727"/>
      <c r="I198" s="878"/>
      <c r="J198" s="798"/>
      <c r="K198" s="1727"/>
      <c r="L198" s="441"/>
      <c r="M198" s="568"/>
      <c r="N198" s="561"/>
      <c r="O198" s="1851"/>
      <c r="P198" s="1851"/>
      <c r="AH198" s="1858">
        <v>0</v>
      </c>
    </row>
    <row s="13141" customFormat="1" customHeight="1" ht="18.75" hidden="1">
      <c r="A199" s="2007" t="s">
        <v>240</v>
      </c>
      <c r="B199" s="2007" t="s">
        <v>241</v>
      </c>
      <c r="C199" s="596"/>
      <c r="D199" s="2689"/>
      <c r="E199" s="2431"/>
      <c r="F199" s="2610" t="str">
        <f>INDEX(PT_DIFFERENTIATION_VTAR,MATCH(A199,PT_DIFFERENTIATION_VTAR_ID,0))</f>
        <v>Тариф на транспортировку воды</v>
      </c>
      <c r="G199" s="2654" t="str">
        <f>INDEX(PT_DIFFERENTIATION_NTAR,MATCH(B199,PT_DIFFERENTIATION_NTAR_ID,0))</f>
        <v/>
      </c>
      <c r="H199" s="2089"/>
      <c r="I199" s="1966"/>
      <c r="J199" s="2000"/>
      <c r="K199" s="2005"/>
      <c r="L199" s="2089" t="s">
        <v>311</v>
      </c>
      <c r="M199" s="568"/>
      <c r="N199" s="561"/>
      <c r="O199" s="1851"/>
      <c r="P199" s="1851"/>
      <c r="AH199" s="1858">
        <v>0</v>
      </c>
    </row>
    <row s="13141" customFormat="1" customHeight="1" ht="18.75" hidden="1">
      <c r="A200" s="2007"/>
      <c r="B200" s="2007"/>
      <c r="C200" s="596" t="s">
        <v>1154</v>
      </c>
      <c r="D200" s="2689"/>
      <c r="E200" s="2431"/>
      <c r="F200" s="2610"/>
      <c r="G200" s="2654"/>
      <c r="H200" s="1727"/>
      <c r="I200" s="878" t="s">
        <v>1153</v>
      </c>
      <c r="J200" s="798"/>
      <c r="K200" s="1727"/>
      <c r="L200" s="441"/>
      <c r="M200" s="568"/>
      <c r="N200" s="561"/>
      <c r="O200" s="1851"/>
      <c r="P200" s="1851"/>
      <c r="AH200" s="1858">
        <v>0</v>
      </c>
    </row>
    <row s="13141" customFormat="1" customHeight="1" ht="0.75" hidden="1">
      <c r="A201" s="2007"/>
      <c r="B201" s="2007"/>
      <c r="C201" s="596" t="s">
        <v>1163</v>
      </c>
      <c r="D201" s="2689"/>
      <c r="E201" s="2431"/>
      <c r="F201" s="2610"/>
      <c r="G201" s="627"/>
      <c r="H201" s="1727"/>
      <c r="I201" s="878"/>
      <c r="J201" s="798"/>
      <c r="K201" s="1727"/>
      <c r="L201" s="441"/>
      <c r="M201" s="568"/>
      <c r="N201" s="561"/>
      <c r="O201" s="1851"/>
      <c r="P201" s="1851"/>
      <c r="AH201" s="1858">
        <v>0</v>
      </c>
    </row>
    <row s="13141" customFormat="1" customHeight="1" ht="18.75" hidden="1">
      <c r="A202" s="2007" t="s">
        <v>245</v>
      </c>
      <c r="B202" s="2007" t="s">
        <v>246</v>
      </c>
      <c r="C202" s="596"/>
      <c r="D202" s="2689"/>
      <c r="E202" s="2431"/>
      <c r="F202" s="2610" t="str">
        <f>INDEX(PT_DIFFERENTIATION_VTAR,MATCH(A202,PT_DIFFERENTIATION_VTAR_ID,0))</f>
        <v>Тариф на подвоз воды</v>
      </c>
      <c r="G202" s="2654" t="str">
        <f>INDEX(PT_DIFFERENTIATION_NTAR,MATCH(B202,PT_DIFFERENTIATION_NTAR_ID,0))</f>
        <v/>
      </c>
      <c r="H202" s="2089"/>
      <c r="I202" s="1966"/>
      <c r="J202" s="2000"/>
      <c r="K202" s="2005"/>
      <c r="L202" s="2089" t="s">
        <v>311</v>
      </c>
      <c r="M202" s="568"/>
      <c r="N202" s="561"/>
      <c r="O202" s="1851"/>
      <c r="P202" s="1851"/>
      <c r="AH202" s="1858">
        <v>0</v>
      </c>
    </row>
    <row s="13141" customFormat="1" customHeight="1" ht="18.75" hidden="1">
      <c r="A203" s="2007"/>
      <c r="B203" s="2007"/>
      <c r="C203" s="596" t="s">
        <v>1154</v>
      </c>
      <c r="D203" s="2689"/>
      <c r="E203" s="2431"/>
      <c r="F203" s="2610"/>
      <c r="G203" s="2654"/>
      <c r="H203" s="1727"/>
      <c r="I203" s="878" t="s">
        <v>1153</v>
      </c>
      <c r="J203" s="798"/>
      <c r="K203" s="1727"/>
      <c r="L203" s="441"/>
      <c r="M203" s="568"/>
      <c r="N203" s="561"/>
      <c r="O203" s="1851"/>
      <c r="P203" s="1851"/>
      <c r="AH203" s="1858">
        <v>0</v>
      </c>
    </row>
    <row s="13141" customFormat="1" customHeight="1" ht="0.75" hidden="1">
      <c r="A204" s="2007"/>
      <c r="B204" s="2007"/>
      <c r="C204" s="596" t="s">
        <v>1163</v>
      </c>
      <c r="D204" s="2689"/>
      <c r="E204" s="2431"/>
      <c r="F204" s="2610"/>
      <c r="G204" s="627"/>
      <c r="H204" s="1727"/>
      <c r="I204" s="878"/>
      <c r="J204" s="798"/>
      <c r="K204" s="1727"/>
      <c r="L204" s="441"/>
      <c r="M204" s="568"/>
      <c r="N204" s="561"/>
      <c r="O204" s="1851"/>
      <c r="P204" s="1851"/>
      <c r="AH204" s="1858">
        <v>0</v>
      </c>
    </row>
    <row s="13141" customFormat="1" customHeight="1" ht="18.75" hidden="1">
      <c r="A205" s="2007" t="s">
        <v>250</v>
      </c>
      <c r="B205" s="2007" t="s">
        <v>251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654" t="str">
        <f>INDEX(PT_DIFFERENTIATION_NTAR,MATCH(B205,PT_DIFFERENTIATION_NTAR_ID,0))</f>
        <v/>
      </c>
      <c r="H205" s="2089"/>
      <c r="I205" s="1966"/>
      <c r="J205" s="2000"/>
      <c r="K205" s="2005"/>
      <c r="L205" s="2089" t="s">
        <v>311</v>
      </c>
      <c r="M205" s="568"/>
      <c r="N205" s="561"/>
      <c r="O205" s="1851"/>
      <c r="P205" s="1851"/>
      <c r="AH205" s="1858">
        <v>0</v>
      </c>
    </row>
    <row s="13141" customFormat="1" customHeight="1" ht="18.75" hidden="1">
      <c r="A206" s="2007"/>
      <c r="B206" s="2007"/>
      <c r="C206" s="596" t="s">
        <v>1154</v>
      </c>
      <c r="D206" s="2689"/>
      <c r="E206" s="2431"/>
      <c r="F206" s="2610"/>
      <c r="G206" s="2654"/>
      <c r="H206" s="1727"/>
      <c r="I206" s="878" t="s">
        <v>1153</v>
      </c>
      <c r="J206" s="798"/>
      <c r="K206" s="1727"/>
      <c r="L206" s="441"/>
      <c r="M206" s="568"/>
      <c r="N206" s="561"/>
      <c r="O206" s="1851"/>
      <c r="P206" s="1851"/>
      <c r="AH206" s="1858">
        <v>0</v>
      </c>
    </row>
    <row s="13141" customFormat="1" customHeight="1" ht="0.75" hidden="1">
      <c r="A207" s="2007"/>
      <c r="B207" s="2007"/>
      <c r="C207" s="596" t="s">
        <v>1163</v>
      </c>
      <c r="D207" s="2689"/>
      <c r="E207" s="2431"/>
      <c r="F207" s="2610"/>
      <c r="G207" s="627"/>
      <c r="H207" s="1727"/>
      <c r="I207" s="878"/>
      <c r="J207" s="798"/>
      <c r="K207" s="1727"/>
      <c r="L207" s="441"/>
      <c r="M207" s="568"/>
      <c r="N207" s="561"/>
      <c r="O207" s="1851"/>
      <c r="P207" s="1851"/>
      <c r="AH207" s="1858">
        <v>0</v>
      </c>
    </row>
    <row s="13141" customFormat="1" customHeight="1" ht="18.75" hidden="1">
      <c r="A208" s="2007" t="s">
        <v>255</v>
      </c>
      <c r="B208" s="2007" t="s">
        <v>256</v>
      </c>
      <c r="C208" s="596"/>
      <c r="D208" s="2689"/>
      <c r="E208" s="2431"/>
      <c r="F208" s="2610" t="str">
        <f>INDEX(PT_DIFFERENTIATION_VTAR,MATCH(A208,PT_DIFFERENTIATION_VTAR_ID,0))</f>
        <v>Тариф на горячую воду (горячее водоснабжение)</v>
      </c>
      <c r="G208" s="2654" t="str">
        <f>INDEX(PT_DIFFERENTIATION_NTAR,MATCH(B208,PT_DIFFERENTIATION_NTAR_ID,0))</f>
        <v/>
      </c>
      <c r="H208" s="2089"/>
      <c r="I208" s="1966"/>
      <c r="J208" s="2000"/>
      <c r="K208" s="2005"/>
      <c r="L208" s="2089" t="s">
        <v>311</v>
      </c>
      <c r="M208" s="568"/>
      <c r="N208" s="561"/>
      <c r="O208" s="1851"/>
      <c r="P208" s="1851"/>
      <c r="AH208" s="1858">
        <v>0</v>
      </c>
    </row>
    <row s="13141" customFormat="1" customHeight="1" ht="18.75" hidden="1">
      <c r="A209" s="2007"/>
      <c r="B209" s="2007"/>
      <c r="C209" s="596" t="s">
        <v>1154</v>
      </c>
      <c r="D209" s="2689"/>
      <c r="E209" s="2431"/>
      <c r="F209" s="2610"/>
      <c r="G209" s="2654"/>
      <c r="H209" s="1727"/>
      <c r="I209" s="878" t="s">
        <v>1153</v>
      </c>
      <c r="J209" s="798"/>
      <c r="K209" s="1727"/>
      <c r="L209" s="441"/>
      <c r="M209" s="568"/>
      <c r="N209" s="561"/>
      <c r="O209" s="1851"/>
      <c r="P209" s="1851"/>
      <c r="AH209" s="1858">
        <v>0</v>
      </c>
    </row>
    <row s="13141" customFormat="1" customHeight="1" ht="0.75" hidden="1">
      <c r="A210" s="2007"/>
      <c r="B210" s="2007"/>
      <c r="C210" s="596" t="s">
        <v>1163</v>
      </c>
      <c r="D210" s="2689"/>
      <c r="E210" s="2431"/>
      <c r="F210" s="2610"/>
      <c r="G210" s="627"/>
      <c r="H210" s="1727"/>
      <c r="I210" s="878"/>
      <c r="J210" s="798"/>
      <c r="K210" s="1727"/>
      <c r="L210" s="441"/>
      <c r="M210" s="568"/>
      <c r="N210" s="561"/>
      <c r="O210" s="1851"/>
      <c r="P210" s="1851"/>
      <c r="AH210" s="1858">
        <v>0</v>
      </c>
    </row>
    <row s="13141" customFormat="1" customHeight="1" ht="18.75" hidden="1">
      <c r="A211" s="2007" t="s">
        <v>260</v>
      </c>
      <c r="B211" s="2007" t="s">
        <v>261</v>
      </c>
      <c r="C211" s="596"/>
      <c r="D211" s="2689"/>
      <c r="E211" s="2431"/>
      <c r="F211" s="2610" t="str">
        <f>INDEX(PT_DIFFERENTIATION_VTAR,MATCH(A211,PT_DIFFERENTIATION_VTAR_ID,0))</f>
        <v>Тариф на транспортировку горячей воды</v>
      </c>
      <c r="G211" s="2654" t="str">
        <f>INDEX(PT_DIFFERENTIATION_NTAR,MATCH(B211,PT_DIFFERENTIATION_NTAR_ID,0))</f>
        <v/>
      </c>
      <c r="H211" s="2089"/>
      <c r="I211" s="1966"/>
      <c r="J211" s="2000"/>
      <c r="K211" s="2005"/>
      <c r="L211" s="2089" t="s">
        <v>311</v>
      </c>
      <c r="M211" s="568"/>
      <c r="N211" s="561"/>
      <c r="O211" s="1851"/>
      <c r="P211" s="1851"/>
      <c r="AH211" s="1858">
        <v>0</v>
      </c>
    </row>
    <row s="13141" customFormat="1" customHeight="1" ht="18.75" hidden="1">
      <c r="A212" s="2007"/>
      <c r="B212" s="2007"/>
      <c r="C212" s="596" t="s">
        <v>1154</v>
      </c>
      <c r="D212" s="2689"/>
      <c r="E212" s="2431"/>
      <c r="F212" s="2610"/>
      <c r="G212" s="2654"/>
      <c r="H212" s="1727"/>
      <c r="I212" s="878" t="s">
        <v>1153</v>
      </c>
      <c r="J212" s="798"/>
      <c r="K212" s="1727"/>
      <c r="L212" s="441"/>
      <c r="M212" s="568"/>
      <c r="N212" s="561"/>
      <c r="O212" s="1851"/>
      <c r="P212" s="1851"/>
      <c r="AH212" s="1858">
        <v>0</v>
      </c>
    </row>
    <row s="13141" customFormat="1" customHeight="1" ht="0.75" hidden="1">
      <c r="A213" s="2007"/>
      <c r="B213" s="2007"/>
      <c r="C213" s="596" t="s">
        <v>1163</v>
      </c>
      <c r="D213" s="2689"/>
      <c r="E213" s="2431"/>
      <c r="F213" s="2610"/>
      <c r="G213" s="627"/>
      <c r="H213" s="1727"/>
      <c r="I213" s="878"/>
      <c r="J213" s="798"/>
      <c r="K213" s="1727"/>
      <c r="L213" s="441"/>
      <c r="M213" s="568"/>
      <c r="N213" s="561"/>
      <c r="O213" s="1851"/>
      <c r="P213" s="1851"/>
      <c r="AH213" s="1858">
        <v>0</v>
      </c>
    </row>
    <row s="13141" customFormat="1" customHeight="1" ht="18.75" hidden="1">
      <c r="A214" s="2007" t="s">
        <v>265</v>
      </c>
      <c r="B214" s="2007" t="s">
        <v>266</v>
      </c>
      <c r="C214" s="596"/>
      <c r="D214" s="2689"/>
      <c r="E214" s="2431"/>
      <c r="F214" s="2610" t="str">
        <f>INDEX(PT_DIFFERENTIATION_VTAR,MATCH(A214,PT_DIFFERENTIATION_VTAR_ID,0))</f>
        <v>Тариф на подключение (технологическое присоединение) к централизованной системе горячего водоснабжения</v>
      </c>
      <c r="G214" s="2654" t="str">
        <f>INDEX(PT_DIFFERENTIATION_NTAR,MATCH(B214,PT_DIFFERENTIATION_NTAR_ID,0))</f>
        <v/>
      </c>
      <c r="H214" s="2089"/>
      <c r="I214" s="1966"/>
      <c r="J214" s="2000"/>
      <c r="K214" s="2005"/>
      <c r="L214" s="2089" t="s">
        <v>311</v>
      </c>
      <c r="M214" s="568"/>
      <c r="N214" s="561"/>
      <c r="O214" s="1851"/>
      <c r="P214" s="1851"/>
      <c r="AH214" s="1858">
        <v>0</v>
      </c>
    </row>
    <row s="13141" customFormat="1" customHeight="1" ht="18.75" hidden="1">
      <c r="A215" s="2007"/>
      <c r="B215" s="2007"/>
      <c r="C215" s="596" t="s">
        <v>1154</v>
      </c>
      <c r="D215" s="2689"/>
      <c r="E215" s="2431"/>
      <c r="F215" s="2610"/>
      <c r="G215" s="2654"/>
      <c r="H215" s="1727"/>
      <c r="I215" s="878" t="s">
        <v>1153</v>
      </c>
      <c r="J215" s="798"/>
      <c r="K215" s="1727"/>
      <c r="L215" s="441"/>
      <c r="M215" s="568"/>
      <c r="N215" s="561"/>
      <c r="O215" s="1851"/>
      <c r="P215" s="1851"/>
      <c r="AH215" s="1858">
        <v>0</v>
      </c>
    </row>
    <row s="13141" customFormat="1" customHeight="1" ht="0.75" hidden="1">
      <c r="A216" s="2007"/>
      <c r="B216" s="2007"/>
      <c r="C216" s="596" t="s">
        <v>1163</v>
      </c>
      <c r="D216" s="2689"/>
      <c r="E216" s="2431"/>
      <c r="F216" s="2610"/>
      <c r="G216" s="627"/>
      <c r="H216" s="1727"/>
      <c r="I216" s="878"/>
      <c r="J216" s="798"/>
      <c r="K216" s="1727"/>
      <c r="L216" s="441"/>
      <c r="M216" s="568"/>
      <c r="N216" s="561"/>
      <c r="O216" s="1851"/>
      <c r="P216" s="1851"/>
      <c r="AH216" s="1858">
        <v>0</v>
      </c>
    </row>
    <row s="13141" customFormat="1" customHeight="1" ht="18.75" hidden="1">
      <c r="A217" s="2007" t="s">
        <v>270</v>
      </c>
      <c r="B217" s="2007" t="s">
        <v>271</v>
      </c>
      <c r="C217" s="596"/>
      <c r="D217" s="2689"/>
      <c r="E217" s="2431"/>
      <c r="F217" s="2610" t="str">
        <f>INDEX(PT_DIFFERENTIATION_VTAR,MATCH(A217,PT_DIFFERENTIATION_VTAR_ID,0))</f>
        <v>Тариф на водоотведение</v>
      </c>
      <c r="G217" s="2654" t="str">
        <f>INDEX(PT_DIFFERENTIATION_NTAR,MATCH(B217,PT_DIFFERENTIATION_NTAR_ID,0))</f>
        <v/>
      </c>
      <c r="H217" s="2089"/>
      <c r="I217" s="1966"/>
      <c r="J217" s="2000"/>
      <c r="K217" s="2005"/>
      <c r="L217" s="2089" t="s">
        <v>311</v>
      </c>
      <c r="M217" s="568"/>
      <c r="N217" s="561"/>
      <c r="O217" s="1851"/>
      <c r="P217" s="1851"/>
      <c r="AH217" s="1858">
        <v>0</v>
      </c>
    </row>
    <row s="13141" customFormat="1" customHeight="1" ht="18.75" hidden="1">
      <c r="A218" s="2007"/>
      <c r="B218" s="2007"/>
      <c r="C218" s="596" t="s">
        <v>1154</v>
      </c>
      <c r="D218" s="2689"/>
      <c r="E218" s="2431"/>
      <c r="F218" s="2610"/>
      <c r="G218" s="2654"/>
      <c r="H218" s="1727"/>
      <c r="I218" s="878" t="s">
        <v>1153</v>
      </c>
      <c r="J218" s="798"/>
      <c r="K218" s="1727"/>
      <c r="L218" s="441"/>
      <c r="M218" s="568"/>
      <c r="N218" s="561"/>
      <c r="O218" s="1851"/>
      <c r="P218" s="1851"/>
      <c r="AH218" s="1858">
        <v>0</v>
      </c>
    </row>
    <row s="13141" customFormat="1" customHeight="1" ht="0.75" hidden="1">
      <c r="A219" s="2007"/>
      <c r="B219" s="2007"/>
      <c r="C219" s="596" t="s">
        <v>1163</v>
      </c>
      <c r="D219" s="2689"/>
      <c r="E219" s="2431"/>
      <c r="F219" s="2610"/>
      <c r="G219" s="627"/>
      <c r="H219" s="1727"/>
      <c r="I219" s="878"/>
      <c r="J219" s="798"/>
      <c r="K219" s="1727"/>
      <c r="L219" s="441"/>
      <c r="M219" s="568"/>
      <c r="N219" s="561"/>
      <c r="O219" s="1851"/>
      <c r="P219" s="1851"/>
      <c r="AH219" s="1858">
        <v>0</v>
      </c>
    </row>
    <row s="13141" customFormat="1" customHeight="1" ht="18.75" hidden="1">
      <c r="A220" s="2007" t="s">
        <v>275</v>
      </c>
      <c r="B220" s="2007" t="s">
        <v>276</v>
      </c>
      <c r="C220" s="596"/>
      <c r="D220" s="2689"/>
      <c r="E220" s="2431"/>
      <c r="F220" s="2610" t="str">
        <f>INDEX(PT_DIFFERENTIATION_VTAR,MATCH(A220,PT_DIFFERENTIATION_VTAR_ID,0))</f>
        <v>Тариф на транспортировку сточных вод</v>
      </c>
      <c r="G220" s="2654" t="str">
        <f>INDEX(PT_DIFFERENTIATION_NTAR,MATCH(B220,PT_DIFFERENTIATION_NTAR_ID,0))</f>
        <v/>
      </c>
      <c r="H220" s="2089"/>
      <c r="I220" s="1966"/>
      <c r="J220" s="2000"/>
      <c r="K220" s="2005"/>
      <c r="L220" s="2089" t="s">
        <v>311</v>
      </c>
      <c r="M220" s="568"/>
      <c r="N220" s="561"/>
      <c r="O220" s="1851"/>
      <c r="P220" s="1851"/>
      <c r="AH220" s="1858">
        <v>0</v>
      </c>
    </row>
    <row s="13141" customFormat="1" customHeight="1" ht="18.75" hidden="1">
      <c r="A221" s="2007"/>
      <c r="B221" s="2007"/>
      <c r="C221" s="596" t="s">
        <v>1154</v>
      </c>
      <c r="D221" s="2689"/>
      <c r="E221" s="2431"/>
      <c r="F221" s="2610"/>
      <c r="G221" s="2654"/>
      <c r="H221" s="1727"/>
      <c r="I221" s="878" t="s">
        <v>1153</v>
      </c>
      <c r="J221" s="798"/>
      <c r="K221" s="1727"/>
      <c r="L221" s="441"/>
      <c r="M221" s="568"/>
      <c r="N221" s="561"/>
      <c r="O221" s="1851"/>
      <c r="P221" s="1851"/>
      <c r="AH221" s="1858">
        <v>0</v>
      </c>
    </row>
    <row s="13141" customFormat="1" customHeight="1" ht="0.75" hidden="1">
      <c r="A222" s="2007"/>
      <c r="B222" s="2007"/>
      <c r="C222" s="596" t="s">
        <v>1163</v>
      </c>
      <c r="D222" s="2689"/>
      <c r="E222" s="2431"/>
      <c r="F222" s="2610"/>
      <c r="G222" s="627"/>
      <c r="H222" s="1727"/>
      <c r="I222" s="878"/>
      <c r="J222" s="798"/>
      <c r="K222" s="1727"/>
      <c r="L222" s="441"/>
      <c r="M222" s="568"/>
      <c r="N222" s="561"/>
      <c r="O222" s="1851"/>
      <c r="P222" s="1851"/>
      <c r="AH222" s="1858">
        <v>0</v>
      </c>
    </row>
    <row s="13141" customFormat="1" customHeight="1" ht="18.75" hidden="1">
      <c r="A223" s="2007" t="s">
        <v>280</v>
      </c>
      <c r="B223" s="2007" t="s">
        <v>281</v>
      </c>
      <c r="C223" s="596"/>
      <c r="D223" s="2689"/>
      <c r="E223" s="2431"/>
      <c r="F223" s="2610" t="str">
        <f>INDEX(PT_DIFFERENTIATION_VTAR,MATCH(A223,PT_DIFFERENTIATION_VTAR_ID,0))</f>
        <v>Тариф на подключение (технологическое присоединение) к централизованной системе водоотведения</v>
      </c>
      <c r="G223" s="2654" t="str">
        <f>INDEX(PT_DIFFERENTIATION_NTAR,MATCH(B223,PT_DIFFERENTIATION_NTAR_ID,0))</f>
        <v/>
      </c>
      <c r="H223" s="2089"/>
      <c r="I223" s="1966"/>
      <c r="J223" s="2000"/>
      <c r="K223" s="2005"/>
      <c r="L223" s="2089" t="s">
        <v>311</v>
      </c>
      <c r="M223" s="568"/>
      <c r="N223" s="561"/>
      <c r="O223" s="1851"/>
      <c r="P223" s="1851"/>
      <c r="AH223" s="1858">
        <v>0</v>
      </c>
    </row>
    <row s="13141" customFormat="1" customHeight="1" ht="18.75" hidden="1">
      <c r="A224" s="2007"/>
      <c r="B224" s="2007"/>
      <c r="C224" s="596" t="s">
        <v>1154</v>
      </c>
      <c r="D224" s="2689"/>
      <c r="E224" s="2431"/>
      <c r="F224" s="2610"/>
      <c r="G224" s="2654"/>
      <c r="H224" s="1727"/>
      <c r="I224" s="878" t="s">
        <v>1153</v>
      </c>
      <c r="J224" s="798"/>
      <c r="K224" s="1727"/>
      <c r="L224" s="441"/>
      <c r="M224" s="568"/>
      <c r="N224" s="561"/>
      <c r="O224" s="1851"/>
      <c r="P224" s="1851"/>
      <c r="AH224" s="1858">
        <v>0</v>
      </c>
    </row>
    <row s="13141" customFormat="1" customHeight="1" ht="1.05">
      <c r="A225" s="2007"/>
      <c r="B225" s="2007"/>
      <c r="C225" s="596" t="s">
        <v>1163</v>
      </c>
      <c r="D225" s="2689"/>
      <c r="E225" s="2431"/>
      <c r="F225" s="2610"/>
      <c r="G225" s="627"/>
      <c r="H225" s="1727"/>
      <c r="I225" s="878"/>
      <c r="J225" s="798"/>
      <c r="K225" s="1727"/>
      <c r="L225" s="441"/>
      <c r="M225" s="568"/>
      <c r="N225" s="561"/>
      <c r="O225" s="1851"/>
      <c r="P225" s="1851"/>
      <c r="AH225" s="1858">
        <v>1</v>
      </c>
    </row>
    <row customHeight="1" ht="27.299999999999997">
      <c r="A226" s="2007"/>
      <c r="B226" s="2007"/>
      <c r="D226" s="603"/>
      <c r="E226" s="374" t="s">
        <v>111</v>
      </c>
      <c r="F226"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6" s="2687"/>
      <c r="H226" s="2687"/>
      <c r="I226" s="2687"/>
      <c r="J226" s="2687"/>
      <c r="K226" s="2687"/>
      <c r="L226" s="2687"/>
      <c r="M226" s="524"/>
      <c r="N226" s="561"/>
      <c r="AH226" s="601">
        <v>26</v>
      </c>
    </row>
    <row s="13141" customFormat="1" customHeight="1" ht="60.75" hidden="1">
      <c r="A227" s="2007" t="s">
        <v>155</v>
      </c>
      <c r="B227" s="2007" t="s">
        <v>156</v>
      </c>
      <c r="C227" s="596"/>
      <c r="D227" s="2689"/>
      <c r="E227" s="2431"/>
      <c r="F227" s="2610"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654" t="str">
        <f>INDEX(PT_DIFFERENTIATION_NTAR,MATCH(B227,PT_DIFFERENTIATION_NTAR_ID,0))</f>
        <v/>
      </c>
      <c r="H227" s="2089"/>
      <c r="I227" s="1966"/>
      <c r="J227" s="2000"/>
      <c r="K227" s="2005"/>
      <c r="L227" s="2089" t="s">
        <v>311</v>
      </c>
      <c r="M22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7" s="561"/>
      <c r="O227" s="1851"/>
      <c r="P227" s="1851"/>
      <c r="AH227" s="1858">
        <v>0</v>
      </c>
    </row>
    <row s="13141" customFormat="1" customHeight="1" ht="18.75" hidden="1">
      <c r="A228" s="2007"/>
      <c r="B228" s="2007"/>
      <c r="C228" s="596" t="s">
        <v>1154</v>
      </c>
      <c r="D228" s="2689"/>
      <c r="E228" s="2431"/>
      <c r="F228" s="2610"/>
      <c r="G228" s="2654"/>
      <c r="H228" s="1727"/>
      <c r="I228" s="878" t="s">
        <v>1153</v>
      </c>
      <c r="J228" s="798"/>
      <c r="K228" s="1727"/>
      <c r="L228" s="441"/>
      <c r="M228" s="2397"/>
      <c r="N228" s="561"/>
      <c r="O228" s="1851"/>
      <c r="P228" s="1851"/>
      <c r="AH228" s="1858">
        <v>0</v>
      </c>
    </row>
    <row s="13141" customFormat="1" customHeight="1" ht="0.75" hidden="1">
      <c r="A229" s="2007"/>
      <c r="B229" s="2007"/>
      <c r="C229" s="596" t="s">
        <v>1163</v>
      </c>
      <c r="D229" s="2689"/>
      <c r="E229" s="2431"/>
      <c r="F229" s="2610"/>
      <c r="G229" s="627"/>
      <c r="H229" s="1727"/>
      <c r="I229" s="878"/>
      <c r="J229" s="798"/>
      <c r="K229" s="1727"/>
      <c r="L229" s="441"/>
      <c r="M229" s="2397"/>
      <c r="N229" s="561"/>
      <c r="O229" s="1851"/>
      <c r="P229" s="1851"/>
      <c r="AH229" s="1858">
        <v>0</v>
      </c>
    </row>
    <row s="13141" customFormat="1" customHeight="1" ht="45" hidden="1">
      <c r="A230" s="2007" t="s">
        <v>160</v>
      </c>
      <c r="B230" s="2007" t="s">
        <v>161</v>
      </c>
      <c r="C230" s="596"/>
      <c r="D230" s="2689"/>
      <c r="E230" s="2431"/>
      <c r="F230" s="2610" t="str">
        <f>INDEX(PT_DIFFERENTIATION_VTAR,MATCH(A230,PT_DIFFERENTIATION_VTAR_ID,0))</f>
        <v/>
      </c>
      <c r="G230" s="2654" t="str">
        <f>INDEX(PT_DIFFERENTIATION_NTAR,MATCH(B230,PT_DIFFERENTIATION_NTAR_ID,0))</f>
        <v/>
      </c>
      <c r="H230" s="2089"/>
      <c r="I230" s="1966"/>
      <c r="J230" s="2000"/>
      <c r="K230" s="2005"/>
      <c r="L230" s="2089" t="s">
        <v>311</v>
      </c>
      <c r="M230" s="2398"/>
      <c r="N230" s="561"/>
      <c r="O230" s="1851"/>
      <c r="P230" s="1851"/>
      <c r="AH230" s="1858">
        <v>0</v>
      </c>
    </row>
    <row s="13141" customFormat="1" customHeight="1" ht="18.75" hidden="1">
      <c r="A231" s="2007"/>
      <c r="B231" s="2007"/>
      <c r="C231" s="596" t="s">
        <v>1154</v>
      </c>
      <c r="D231" s="2689"/>
      <c r="E231" s="2431"/>
      <c r="F231" s="2610"/>
      <c r="G231" s="2654"/>
      <c r="H231" s="1727"/>
      <c r="I231" s="878" t="s">
        <v>1153</v>
      </c>
      <c r="J231" s="798"/>
      <c r="K231" s="1727"/>
      <c r="L231" s="441"/>
      <c r="M231" s="2088"/>
      <c r="N231" s="561"/>
      <c r="O231" s="1851"/>
      <c r="P231" s="1851"/>
      <c r="AH231" s="1858">
        <v>0</v>
      </c>
    </row>
    <row s="13141" customFormat="1" customHeight="1" ht="0.75" hidden="1">
      <c r="A232" s="2007"/>
      <c r="B232" s="2007"/>
      <c r="C232" s="596" t="s">
        <v>1163</v>
      </c>
      <c r="D232" s="2689"/>
      <c r="E232" s="2431"/>
      <c r="F232" s="2610"/>
      <c r="G232" s="627"/>
      <c r="H232" s="1727"/>
      <c r="I232" s="878"/>
      <c r="J232" s="798"/>
      <c r="K232" s="1727"/>
      <c r="L232" s="441"/>
      <c r="M232" s="568"/>
      <c r="N232" s="561"/>
      <c r="O232" s="1851"/>
      <c r="P232" s="1851"/>
      <c r="AH232" s="1858">
        <v>0</v>
      </c>
    </row>
    <row s="13141" customFormat="1" customHeight="1" ht="45" hidden="1">
      <c r="A233" s="2007" t="s">
        <v>167</v>
      </c>
      <c r="B233" s="2007" t="s">
        <v>168</v>
      </c>
      <c r="C233" s="596"/>
      <c r="D233" s="2689"/>
      <c r="E233" s="2431"/>
      <c r="F233" s="2610" t="str">
        <f>INDEX(PT_DIFFERENTIATION_VTAR,MATCH(A233,PT_DIFFERENTIATION_VTAR_ID,0))</f>
        <v>Тарифы на теплоноситель, поставляемый теплоснабжающими организациями потребителям, другим теплоснабжающим организациям</v>
      </c>
      <c r="G233" s="2654" t="str">
        <f>INDEX(PT_DIFFERENTIATION_NTAR,MATCH(B233,PT_DIFFERENTIATION_NTAR_ID,0))</f>
        <v/>
      </c>
      <c r="H233" s="2089"/>
      <c r="I233" s="1966"/>
      <c r="J233" s="2000"/>
      <c r="K233" s="2005"/>
      <c r="L233" s="2089" t="s">
        <v>311</v>
      </c>
      <c r="M233" s="568"/>
      <c r="N233" s="561"/>
      <c r="O233" s="1851"/>
      <c r="P233" s="1851"/>
      <c r="AH233" s="1858">
        <v>0</v>
      </c>
    </row>
    <row s="13141" customFormat="1" customHeight="1" ht="18.75" hidden="1">
      <c r="A234" s="2007"/>
      <c r="B234" s="2007"/>
      <c r="C234" s="596" t="s">
        <v>1154</v>
      </c>
      <c r="D234" s="2689"/>
      <c r="E234" s="2431"/>
      <c r="F234" s="2610"/>
      <c r="G234" s="2654"/>
      <c r="H234" s="1727"/>
      <c r="I234" s="878" t="s">
        <v>1153</v>
      </c>
      <c r="J234" s="798"/>
      <c r="K234" s="1727"/>
      <c r="L234" s="441"/>
      <c r="M234" s="568"/>
      <c r="N234" s="561"/>
      <c r="O234" s="1851"/>
      <c r="P234" s="1851"/>
      <c r="AH234" s="1858">
        <v>0</v>
      </c>
    </row>
    <row s="13141" customFormat="1" customHeight="1" ht="0.75" hidden="1">
      <c r="A235" s="2007"/>
      <c r="B235" s="2007"/>
      <c r="C235" s="596" t="s">
        <v>1163</v>
      </c>
      <c r="D235" s="2689"/>
      <c r="E235" s="2431"/>
      <c r="F235" s="2610"/>
      <c r="G235" s="627"/>
      <c r="H235" s="1727"/>
      <c r="I235" s="878"/>
      <c r="J235" s="798"/>
      <c r="K235" s="1727"/>
      <c r="L235" s="441"/>
      <c r="M235" s="568"/>
      <c r="N235" s="561"/>
      <c r="O235" s="1851"/>
      <c r="P235" s="1851"/>
      <c r="AH235" s="1858">
        <v>0</v>
      </c>
    </row>
    <row s="13141" customFormat="1" customHeight="1" ht="45" hidden="1">
      <c r="A236" s="2007" t="s">
        <v>173</v>
      </c>
      <c r="B236" s="2007" t="s">
        <v>174</v>
      </c>
      <c r="C236" s="596"/>
      <c r="D236" s="2689"/>
      <c r="E236" s="2431"/>
      <c r="F236" s="2610" t="str">
        <f>INDEX(PT_DIFFERENTIATION_VTAR,MATCH(A236,PT_DIFFERENTIATION_VTAR_ID,0))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6" s="2654" t="str">
        <f>INDEX(PT_DIFFERENTIATION_NTAR,MATCH(B236,PT_DIFFERENTIATION_NTAR_ID,0))</f>
        <v/>
      </c>
      <c r="H236" s="2089"/>
      <c r="I236" s="1966"/>
      <c r="J236" s="2000"/>
      <c r="K236" s="2005"/>
      <c r="L236" s="2089" t="s">
        <v>311</v>
      </c>
      <c r="M236" s="568"/>
      <c r="N236" s="561"/>
      <c r="O236" s="1851"/>
      <c r="P236" s="1851"/>
      <c r="AH236" s="1858">
        <v>0</v>
      </c>
    </row>
    <row s="13141" customFormat="1" customHeight="1" ht="18.75" hidden="1">
      <c r="A237" s="2007"/>
      <c r="B237" s="2007"/>
      <c r="C237" s="596" t="s">
        <v>1154</v>
      </c>
      <c r="D237" s="2689"/>
      <c r="E237" s="2431"/>
      <c r="F237" s="2610"/>
      <c r="G237" s="2654"/>
      <c r="H237" s="1727"/>
      <c r="I237" s="878" t="s">
        <v>1153</v>
      </c>
      <c r="J237" s="798"/>
      <c r="K237" s="1727"/>
      <c r="L237" s="441"/>
      <c r="M237" s="568"/>
      <c r="N237" s="561"/>
      <c r="O237" s="1851"/>
      <c r="P237" s="1851"/>
      <c r="AH237" s="1858">
        <v>0</v>
      </c>
    </row>
    <row s="13141" customFormat="1" customHeight="1" ht="0.75" hidden="1">
      <c r="A238" s="2007"/>
      <c r="B238" s="2007"/>
      <c r="C238" s="596" t="s">
        <v>1163</v>
      </c>
      <c r="D238" s="2689"/>
      <c r="E238" s="2431"/>
      <c r="F238" s="2610"/>
      <c r="G238" s="627"/>
      <c r="H238" s="1727"/>
      <c r="I238" s="878"/>
      <c r="J238" s="798"/>
      <c r="K238" s="1727"/>
      <c r="L238" s="441"/>
      <c r="M238" s="568"/>
      <c r="N238" s="561"/>
      <c r="O238" s="1851"/>
      <c r="P238" s="1851"/>
      <c r="AH238" s="1858">
        <v>0</v>
      </c>
    </row>
    <row s="13141" customFormat="1" customHeight="1" ht="18.75" hidden="1">
      <c r="A239" s="2007" t="s">
        <v>179</v>
      </c>
      <c r="B239" s="2007" t="s">
        <v>180</v>
      </c>
      <c r="C239" s="596"/>
      <c r="D239" s="2689"/>
      <c r="E239" s="2431"/>
      <c r="F239" s="2610" t="str">
        <f>INDEX(PT_DIFFERENTIATION_VTAR,MATCH(A239,PT_DIFFERENTIATION_VTAR_ID,0))</f>
        <v>Тарифы на услуги по передаче тепловой энергии</v>
      </c>
      <c r="G239" s="2654" t="str">
        <f>INDEX(PT_DIFFERENTIATION_NTAR,MATCH(B239,PT_DIFFERENTIATION_NTAR_ID,0))</f>
        <v/>
      </c>
      <c r="H239" s="2089"/>
      <c r="I239" s="1966"/>
      <c r="J239" s="2000"/>
      <c r="K239" s="2005"/>
      <c r="L239" s="2089" t="s">
        <v>311</v>
      </c>
      <c r="M239" s="568"/>
      <c r="N239" s="561"/>
      <c r="O239" s="1851"/>
      <c r="P239" s="1851"/>
      <c r="AH239" s="1858">
        <v>0</v>
      </c>
    </row>
    <row s="13141" customFormat="1" customHeight="1" ht="18.75" hidden="1">
      <c r="A240" s="2007"/>
      <c r="B240" s="2007"/>
      <c r="C240" s="596" t="s">
        <v>1154</v>
      </c>
      <c r="D240" s="2689"/>
      <c r="E240" s="2431"/>
      <c r="F240" s="2610"/>
      <c r="G240" s="2654"/>
      <c r="H240" s="1727"/>
      <c r="I240" s="878" t="s">
        <v>1153</v>
      </c>
      <c r="J240" s="798"/>
      <c r="K240" s="1727"/>
      <c r="L240" s="441"/>
      <c r="M240" s="568"/>
      <c r="N240" s="561"/>
      <c r="O240" s="1851"/>
      <c r="P240" s="1851"/>
      <c r="AH240" s="1858">
        <v>0</v>
      </c>
    </row>
    <row s="13141" customFormat="1" customHeight="1" ht="0.75" hidden="1">
      <c r="A241" s="2007"/>
      <c r="B241" s="2007"/>
      <c r="C241" s="596" t="s">
        <v>1163</v>
      </c>
      <c r="D241" s="2689"/>
      <c r="E241" s="2431"/>
      <c r="F241" s="2610"/>
      <c r="G241" s="627"/>
      <c r="H241" s="1727"/>
      <c r="I241" s="878"/>
      <c r="J241" s="798"/>
      <c r="K241" s="1727"/>
      <c r="L241" s="441"/>
      <c r="M241" s="568"/>
      <c r="N241" s="561"/>
      <c r="O241" s="1851"/>
      <c r="P241" s="1851"/>
      <c r="AH241" s="1858">
        <v>0</v>
      </c>
    </row>
    <row s="13141" customFormat="1" customHeight="1" ht="18.75" hidden="1">
      <c r="A242" s="2007" t="s">
        <v>185</v>
      </c>
      <c r="B242" s="2007" t="s">
        <v>186</v>
      </c>
      <c r="C242" s="596"/>
      <c r="D242" s="2689"/>
      <c r="E242" s="2431"/>
      <c r="F242" s="2610" t="str">
        <f>INDEX(PT_DIFFERENTIATION_VTAR,MATCH(A242,PT_DIFFERENTIATION_VTAR_ID,0))</f>
        <v>Тарифы на услуги по передаче теплоносителя</v>
      </c>
      <c r="G242" s="2654" t="str">
        <f>INDEX(PT_DIFFERENTIATION_NTAR,MATCH(B242,PT_DIFFERENTIATION_NTAR_ID,0))</f>
        <v/>
      </c>
      <c r="H242" s="2089"/>
      <c r="I242" s="1966"/>
      <c r="J242" s="2000"/>
      <c r="K242" s="2005"/>
      <c r="L242" s="2089" t="s">
        <v>311</v>
      </c>
      <c r="M242" s="568"/>
      <c r="N242" s="561"/>
      <c r="O242" s="1851"/>
      <c r="P242" s="1851"/>
      <c r="AH242" s="1858">
        <v>0</v>
      </c>
    </row>
    <row s="13141" customFormat="1" customHeight="1" ht="18.75" hidden="1">
      <c r="A243" s="2007"/>
      <c r="B243" s="2007"/>
      <c r="C243" s="596" t="s">
        <v>1154</v>
      </c>
      <c r="D243" s="2689"/>
      <c r="E243" s="2431"/>
      <c r="F243" s="2610"/>
      <c r="G243" s="2654"/>
      <c r="H243" s="1727"/>
      <c r="I243" s="878" t="s">
        <v>1153</v>
      </c>
      <c r="J243" s="798"/>
      <c r="K243" s="1727"/>
      <c r="L243" s="441"/>
      <c r="M243" s="568"/>
      <c r="N243" s="561"/>
      <c r="O243" s="1851"/>
      <c r="P243" s="1851"/>
      <c r="AH243" s="1858">
        <v>0</v>
      </c>
    </row>
    <row s="13141" customFormat="1" customHeight="1" ht="0.75" hidden="1">
      <c r="A244" s="2007"/>
      <c r="B244" s="2007"/>
      <c r="C244" s="596" t="s">
        <v>1163</v>
      </c>
      <c r="D244" s="2689"/>
      <c r="E244" s="2431"/>
      <c r="F244" s="2610"/>
      <c r="G244" s="627"/>
      <c r="H244" s="1727"/>
      <c r="I244" s="878"/>
      <c r="J244" s="798"/>
      <c r="K244" s="1727"/>
      <c r="L244" s="441"/>
      <c r="M244" s="568"/>
      <c r="N244" s="561"/>
      <c r="O244" s="1851"/>
      <c r="P244" s="1851"/>
      <c r="AH244" s="1858">
        <v>0</v>
      </c>
    </row>
    <row s="13141" customFormat="1" customHeight="1" ht="18.75" hidden="1">
      <c r="A245" s="2007" t="s">
        <v>191</v>
      </c>
      <c r="B245" s="2007" t="s">
        <v>192</v>
      </c>
      <c r="C245" s="596"/>
      <c r="D245" s="2689"/>
      <c r="E245" s="2431"/>
      <c r="F245" s="2610"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654" t="str">
        <f>INDEX(PT_DIFFERENTIATION_NTAR,MATCH(B245,PT_DIFFERENTIATION_NTAR_ID,0))</f>
        <v/>
      </c>
      <c r="H245" s="2089"/>
      <c r="I245" s="1966"/>
      <c r="J245" s="2000"/>
      <c r="K245" s="2005"/>
      <c r="L245" s="2089" t="s">
        <v>311</v>
      </c>
      <c r="M245" s="568"/>
      <c r="N245" s="561"/>
      <c r="O245" s="1851"/>
      <c r="P245" s="1851"/>
      <c r="AH245" s="1858">
        <v>0</v>
      </c>
    </row>
    <row s="13141" customFormat="1" customHeight="1" ht="18.75" hidden="1">
      <c r="A246" s="2007"/>
      <c r="B246" s="2007"/>
      <c r="C246" s="596" t="s">
        <v>1154</v>
      </c>
      <c r="D246" s="2689"/>
      <c r="E246" s="2431"/>
      <c r="F246" s="2610"/>
      <c r="G246" s="2654"/>
      <c r="H246" s="1727"/>
      <c r="I246" s="878" t="s">
        <v>1153</v>
      </c>
      <c r="J246" s="798"/>
      <c r="K246" s="1727"/>
      <c r="L246" s="441"/>
      <c r="M246" s="568"/>
      <c r="N246" s="561"/>
      <c r="O246" s="1851"/>
      <c r="P246" s="1851"/>
      <c r="AH246" s="1858">
        <v>0</v>
      </c>
    </row>
    <row s="13141" customFormat="1" customHeight="1" ht="0.75" hidden="1">
      <c r="A247" s="2007"/>
      <c r="B247" s="2007"/>
      <c r="C247" s="596" t="s">
        <v>1163</v>
      </c>
      <c r="D247" s="2689"/>
      <c r="E247" s="2431"/>
      <c r="F247" s="2610"/>
      <c r="G247" s="627"/>
      <c r="H247" s="1727"/>
      <c r="I247" s="878"/>
      <c r="J247" s="798"/>
      <c r="K247" s="1727"/>
      <c r="L247" s="441"/>
      <c r="M247" s="568"/>
      <c r="N247" s="561"/>
      <c r="O247" s="1851"/>
      <c r="P247" s="1851"/>
      <c r="AH247" s="1858">
        <v>0</v>
      </c>
    </row>
    <row s="13141" customFormat="1" customHeight="1" ht="18.75" hidden="1">
      <c r="A248" s="2007" t="s">
        <v>197</v>
      </c>
      <c r="B248" s="2007" t="s">
        <v>198</v>
      </c>
      <c r="C248" s="596"/>
      <c r="D248" s="2689"/>
      <c r="E248" s="2431"/>
      <c r="F248" s="2610" t="str">
        <f>INDEX(PT_DIFFERENTIATION_VTAR,MATCH(A248,PT_DIFFERENTIATION_VTAR_ID,0))</f>
        <v>Плата за подключение (технологическое присоединение) к системе теплоснабжения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3141" customFormat="1" customHeight="1" ht="18.75" hidden="1">
      <c r="A249" s="2007"/>
      <c r="B249" s="2007"/>
      <c r="C249" s="596" t="s">
        <v>1154</v>
      </c>
      <c r="D249" s="2689"/>
      <c r="E249" s="2431"/>
      <c r="F249" s="2610"/>
      <c r="G249" s="2654"/>
      <c r="H249" s="1727"/>
      <c r="I249" s="878" t="s">
        <v>1153</v>
      </c>
      <c r="J249" s="798"/>
      <c r="K249" s="1727"/>
      <c r="L249" s="441"/>
      <c r="M249" s="568"/>
      <c r="N249" s="561"/>
      <c r="O249" s="1851"/>
      <c r="P249" s="1851"/>
      <c r="AH249" s="1858">
        <v>0</v>
      </c>
    </row>
    <row s="13141" customFormat="1" customHeight="1" ht="0.75" hidden="1">
      <c r="A250" s="2007"/>
      <c r="B250" s="2007"/>
      <c r="C250" s="596" t="s">
        <v>1163</v>
      </c>
      <c r="D250" s="2689"/>
      <c r="E250" s="2431"/>
      <c r="F250" s="2610"/>
      <c r="G250" s="627"/>
      <c r="H250" s="1727"/>
      <c r="I250" s="878"/>
      <c r="J250" s="798"/>
      <c r="K250" s="1727"/>
      <c r="L250" s="441"/>
      <c r="M250" s="568"/>
      <c r="N250" s="561"/>
      <c r="O250" s="1851"/>
      <c r="P250" s="1851"/>
      <c r="AH250" s="1858">
        <v>0</v>
      </c>
    </row>
    <row s="13141" customFormat="1" customHeight="1" ht="18.75" hidden="1">
      <c r="A251" s="2007" t="s">
        <v>203</v>
      </c>
      <c r="B251" s="2007" t="s">
        <v>204</v>
      </c>
      <c r="C251" s="596"/>
      <c r="D251" s="2689"/>
      <c r="E251" s="2431"/>
      <c r="F251" s="2610" t="str">
        <f>INDEX(PT_DIFFERENTIATION_VTAR,MATCH(A251,PT_DIFFERENTIATION_VTAR_ID,0))</f>
        <v>Плата за подключение (технологическое присоединение) к системе теплоснабжения (индивидуальная)</v>
      </c>
      <c r="G251" s="2654" t="str">
        <f>INDEX(PT_DIFFERENTIATION_NTAR,MATCH(B251,PT_DIFFERENTIATION_NTAR_ID,0))</f>
        <v/>
      </c>
      <c r="H251" s="2216"/>
      <c r="I251" s="1966"/>
      <c r="J251" s="2000"/>
      <c r="K251" s="2005"/>
      <c r="L251" s="2216" t="s">
        <v>311</v>
      </c>
      <c r="M251" s="568"/>
      <c r="N251" s="561"/>
      <c r="O251" s="1851"/>
      <c r="P251" s="1851"/>
      <c r="AH251" s="1858">
        <v>0</v>
      </c>
    </row>
    <row s="13141" customFormat="1" customHeight="1" ht="18.75" hidden="1">
      <c r="A252" s="2007"/>
      <c r="B252" s="2007"/>
      <c r="C252" s="596" t="s">
        <v>1154</v>
      </c>
      <c r="D252" s="2689"/>
      <c r="E252" s="2431"/>
      <c r="F252" s="2610"/>
      <c r="G252" s="2654"/>
      <c r="H252" s="1727"/>
      <c r="I252" s="878" t="s">
        <v>1153</v>
      </c>
      <c r="J252" s="798"/>
      <c r="K252" s="1727"/>
      <c r="L252" s="441"/>
      <c r="M252" s="568"/>
      <c r="N252" s="561"/>
      <c r="O252" s="1851"/>
      <c r="P252" s="1851"/>
      <c r="AH252" s="1858">
        <v>0</v>
      </c>
    </row>
    <row s="13141" customFormat="1" customHeight="1" ht="0.75" hidden="1">
      <c r="A253" s="2007"/>
      <c r="B253" s="2007"/>
      <c r="C253" s="596" t="s">
        <v>1163</v>
      </c>
      <c r="D253" s="2689"/>
      <c r="E253" s="2431"/>
      <c r="F253" s="2610"/>
      <c r="G253" s="627"/>
      <c r="H253" s="1727"/>
      <c r="I253" s="878"/>
      <c r="J253" s="798"/>
      <c r="K253" s="1727"/>
      <c r="L253" s="441"/>
      <c r="M253" s="568"/>
      <c r="N253" s="561"/>
      <c r="O253" s="1851"/>
      <c r="P253" s="1851"/>
      <c r="AH253" s="1858">
        <v>0</v>
      </c>
    </row>
    <row s="13141" customFormat="1" customHeight="1" ht="18.75">
      <c r="A254" s="2007" t="s">
        <v>225</v>
      </c>
      <c r="B254" s="2007" t="s">
        <v>226</v>
      </c>
      <c r="C254" s="596"/>
      <c r="D254" s="2689"/>
      <c r="E254" s="2431"/>
      <c r="F254" s="2610" t="str">
        <f>INDEX(PT_DIFFERENTIATION_VTAR,MATCH(A254,PT_DIFFERENTIATION_VTAR_ID,0))</f>
        <v>Тариф на питьевую воду (питьевое водоснабжение)</v>
      </c>
      <c r="G254" s="2654" t="str">
        <f>INDEX(PT_DIFFERENTIATION_NTAR,MATCH(B254,PT_DIFFERENTIATION_NTAR_ID,0))</f>
        <v>Тариф  на  холодную  воду  питьевую</v>
      </c>
      <c r="H254" s="2089"/>
      <c r="I254" s="12330">
        <v>45658</v>
      </c>
      <c r="J254" s="12331">
        <v>46022</v>
      </c>
      <c r="K254" s="2005">
        <v>11895.19</v>
      </c>
      <c r="L254" s="2089" t="s">
        <v>311</v>
      </c>
      <c r="M254" s="568"/>
      <c r="N254" s="561"/>
      <c r="O254" s="1851"/>
      <c r="P254" s="1851"/>
      <c r="AH254" s="1858">
        <v>0</v>
      </c>
    </row>
    <row s="13141" customFormat="1" customHeight="1" ht="18.75">
      <c r="A255" s="2007"/>
      <c r="B255" s="2007"/>
      <c r="C255" s="596" t="s">
        <v>1154</v>
      </c>
      <c r="D255" s="2689"/>
      <c r="E255" s="2431"/>
      <c r="F255" s="2610"/>
      <c r="G255" s="2654"/>
      <c r="H255" s="1727"/>
      <c r="I255" s="878" t="s">
        <v>1153</v>
      </c>
      <c r="J255" s="798"/>
      <c r="K255" s="1727"/>
      <c r="L255" s="441"/>
      <c r="M255" s="568"/>
      <c r="N255" s="561"/>
      <c r="O255" s="1851"/>
      <c r="P255" s="1851"/>
      <c r="AH255" s="1858">
        <v>0</v>
      </c>
    </row>
    <row s="13141" customFormat="1" customHeight="1" ht="0.75">
      <c r="A256" s="2007"/>
      <c r="B256" s="2007"/>
      <c r="C256" s="596" t="s">
        <v>1163</v>
      </c>
      <c r="D256" s="2689"/>
      <c r="E256" s="2431"/>
      <c r="F256" s="2610"/>
      <c r="G256" s="627"/>
      <c r="H256" s="1727"/>
      <c r="I256" s="878"/>
      <c r="J256" s="798"/>
      <c r="K256" s="1727"/>
      <c r="L256" s="441"/>
      <c r="M256" s="568"/>
      <c r="N256" s="561"/>
      <c r="O256" s="1851"/>
      <c r="P256" s="1851"/>
      <c r="AH256" s="1858">
        <v>0</v>
      </c>
    </row>
    <row s="13141" customFormat="1" customHeight="1" ht="18.75">
      <c r="A257" s="2007" t="s">
        <v>235</v>
      </c>
      <c r="B257" s="2007" t="s">
        <v>236</v>
      </c>
      <c r="C257" s="596"/>
      <c r="D257" s="2689"/>
      <c r="E257" s="2431"/>
      <c r="F257" s="2610" t="str">
        <f>INDEX(PT_DIFFERENTIATION_VTAR,MATCH(A257,PT_DIFFERENTIATION_VTAR_ID,0))</f>
        <v>Тариф на техническую воду</v>
      </c>
      <c r="G257" s="2654" t="str">
        <f>INDEX(PT_DIFFERENTIATION_NTAR,MATCH(B257,PT_DIFFERENTIATION_NTAR_ID,0))</f>
        <v>Тариф  на  техническую  воду</v>
      </c>
      <c r="H257" s="2089"/>
      <c r="I257" s="12330">
        <v>45658</v>
      </c>
      <c r="J257" s="12331">
        <v>46022</v>
      </c>
      <c r="K257" s="2005">
        <v>160702</v>
      </c>
      <c r="L257" s="2089" t="s">
        <v>311</v>
      </c>
      <c r="M257" s="568"/>
      <c r="N257" s="561"/>
      <c r="O257" s="1851"/>
      <c r="P257" s="1851"/>
      <c r="AH257" s="1858">
        <v>0</v>
      </c>
    </row>
    <row s="13141" customFormat="1" customHeight="1" ht="18.75">
      <c r="A258" s="2007"/>
      <c r="B258" s="2007"/>
      <c r="C258" s="596" t="s">
        <v>1154</v>
      </c>
      <c r="D258" s="2689"/>
      <c r="E258" s="2431"/>
      <c r="F258" s="2610"/>
      <c r="G258" s="2654"/>
      <c r="H258" s="1727"/>
      <c r="I258" s="878" t="s">
        <v>1153</v>
      </c>
      <c r="J258" s="798"/>
      <c r="K258" s="1727"/>
      <c r="L258" s="441"/>
      <c r="M258" s="568"/>
      <c r="N258" s="561"/>
      <c r="O258" s="1851"/>
      <c r="P258" s="1851"/>
      <c r="AH258" s="1858">
        <v>0</v>
      </c>
    </row>
    <row s="13141" customFormat="1" customHeight="1" ht="0.75">
      <c r="A259" s="2007"/>
      <c r="B259" s="2007"/>
      <c r="C259" s="596" t="s">
        <v>1163</v>
      </c>
      <c r="D259" s="2689"/>
      <c r="E259" s="2431"/>
      <c r="F259" s="2610"/>
      <c r="G259" s="627"/>
      <c r="H259" s="1727"/>
      <c r="I259" s="878"/>
      <c r="J259" s="798"/>
      <c r="K259" s="1727"/>
      <c r="L259" s="441"/>
      <c r="M259" s="568"/>
      <c r="N259" s="561"/>
      <c r="O259" s="1851"/>
      <c r="P259" s="1851"/>
      <c r="AH259" s="1858">
        <v>0</v>
      </c>
    </row>
    <row s="13141" customFormat="1" customHeight="1" ht="18.75" hidden="1">
      <c r="A260" s="2007" t="s">
        <v>240</v>
      </c>
      <c r="B260" s="2007" t="s">
        <v>241</v>
      </c>
      <c r="C260" s="596"/>
      <c r="D260" s="2689"/>
      <c r="E260" s="2431"/>
      <c r="F260" s="2610" t="str">
        <f>INDEX(PT_DIFFERENTIATION_VTAR,MATCH(A260,PT_DIFFERENTIATION_VTAR_ID,0))</f>
        <v>Тариф на транспортировку воды</v>
      </c>
      <c r="G260" s="2654" t="str">
        <f>INDEX(PT_DIFFERENTIATION_NTAR,MATCH(B260,PT_DIFFERENTIATION_NTAR_ID,0))</f>
        <v/>
      </c>
      <c r="H260" s="2089"/>
      <c r="I260" s="1966"/>
      <c r="J260" s="2000"/>
      <c r="K260" s="2005"/>
      <c r="L260" s="2089" t="s">
        <v>311</v>
      </c>
      <c r="M260" s="568"/>
      <c r="N260" s="561"/>
      <c r="O260" s="1851"/>
      <c r="P260" s="1851"/>
      <c r="AH260" s="1858">
        <v>0</v>
      </c>
    </row>
    <row s="13141" customFormat="1" customHeight="1" ht="18.75" hidden="1">
      <c r="A261" s="2007"/>
      <c r="B261" s="2007"/>
      <c r="C261" s="596" t="s">
        <v>1154</v>
      </c>
      <c r="D261" s="2689"/>
      <c r="E261" s="2431"/>
      <c r="F261" s="2610"/>
      <c r="G261" s="2654"/>
      <c r="H261" s="1727"/>
      <c r="I261" s="878" t="s">
        <v>1153</v>
      </c>
      <c r="J261" s="798"/>
      <c r="K261" s="1727"/>
      <c r="L261" s="441"/>
      <c r="M261" s="568"/>
      <c r="N261" s="561"/>
      <c r="O261" s="1851"/>
      <c r="P261" s="1851"/>
      <c r="AH261" s="1858">
        <v>0</v>
      </c>
    </row>
    <row s="13141" customFormat="1" customHeight="1" ht="0.75" hidden="1">
      <c r="A262" s="2007"/>
      <c r="B262" s="2007"/>
      <c r="C262" s="596" t="s">
        <v>1163</v>
      </c>
      <c r="D262" s="2689"/>
      <c r="E262" s="2431"/>
      <c r="F262" s="2610"/>
      <c r="G262" s="627"/>
      <c r="H262" s="1727"/>
      <c r="I262" s="878"/>
      <c r="J262" s="798"/>
      <c r="K262" s="1727"/>
      <c r="L262" s="441"/>
      <c r="M262" s="568"/>
      <c r="N262" s="561"/>
      <c r="O262" s="1851"/>
      <c r="P262" s="1851"/>
      <c r="AH262" s="1858">
        <v>0</v>
      </c>
    </row>
    <row s="13141" customFormat="1" customHeight="1" ht="18.75" hidden="1">
      <c r="A263" s="2007" t="s">
        <v>245</v>
      </c>
      <c r="B263" s="2007" t="s">
        <v>246</v>
      </c>
      <c r="C263" s="596"/>
      <c r="D263" s="2689"/>
      <c r="E263" s="2431"/>
      <c r="F263" s="2610" t="str">
        <f>INDEX(PT_DIFFERENTIATION_VTAR,MATCH(A263,PT_DIFFERENTIATION_VTAR_ID,0))</f>
        <v>Тариф на подвоз воды</v>
      </c>
      <c r="G263" s="2654" t="str">
        <f>INDEX(PT_DIFFERENTIATION_NTAR,MATCH(B263,PT_DIFFERENTIATION_NTAR_ID,0))</f>
        <v/>
      </c>
      <c r="H263" s="2089"/>
      <c r="I263" s="1966"/>
      <c r="J263" s="2000"/>
      <c r="K263" s="2005"/>
      <c r="L263" s="2089" t="s">
        <v>311</v>
      </c>
      <c r="M263" s="568"/>
      <c r="N263" s="561"/>
      <c r="O263" s="1851"/>
      <c r="P263" s="1851"/>
      <c r="AH263" s="1858">
        <v>0</v>
      </c>
    </row>
    <row s="13141" customFormat="1" customHeight="1" ht="18.75" hidden="1">
      <c r="A264" s="2007"/>
      <c r="B264" s="2007"/>
      <c r="C264" s="596" t="s">
        <v>1154</v>
      </c>
      <c r="D264" s="2689"/>
      <c r="E264" s="2431"/>
      <c r="F264" s="2610"/>
      <c r="G264" s="2654"/>
      <c r="H264" s="1727"/>
      <c r="I264" s="878" t="s">
        <v>1153</v>
      </c>
      <c r="J264" s="798"/>
      <c r="K264" s="1727"/>
      <c r="L264" s="441"/>
      <c r="M264" s="568"/>
      <c r="N264" s="561"/>
      <c r="O264" s="1851"/>
      <c r="P264" s="1851"/>
      <c r="AH264" s="1858">
        <v>0</v>
      </c>
    </row>
    <row s="13141" customFormat="1" customHeight="1" ht="0.75" hidden="1">
      <c r="A265" s="2007"/>
      <c r="B265" s="2007"/>
      <c r="C265" s="596" t="s">
        <v>1163</v>
      </c>
      <c r="D265" s="2689"/>
      <c r="E265" s="2431"/>
      <c r="F265" s="2610"/>
      <c r="G265" s="627"/>
      <c r="H265" s="1727"/>
      <c r="I265" s="878"/>
      <c r="J265" s="798"/>
      <c r="K265" s="1727"/>
      <c r="L265" s="441"/>
      <c r="M265" s="568"/>
      <c r="N265" s="561"/>
      <c r="O265" s="1851"/>
      <c r="P265" s="1851"/>
      <c r="AH265" s="1858">
        <v>0</v>
      </c>
    </row>
    <row s="13141" customFormat="1" customHeight="1" ht="18.75" hidden="1">
      <c r="A266" s="2007" t="s">
        <v>250</v>
      </c>
      <c r="B266" s="2007" t="s">
        <v>251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654" t="str">
        <f>INDEX(PT_DIFFERENTIATION_NTAR,MATCH(B266,PT_DIFFERENTIATION_NTAR_ID,0))</f>
        <v/>
      </c>
      <c r="H266" s="2089"/>
      <c r="I266" s="1966"/>
      <c r="J266" s="2000"/>
      <c r="K266" s="2005"/>
      <c r="L266" s="2089" t="s">
        <v>311</v>
      </c>
      <c r="M266" s="568"/>
      <c r="N266" s="561"/>
      <c r="O266" s="1851"/>
      <c r="P266" s="1851"/>
      <c r="AH266" s="1858">
        <v>0</v>
      </c>
    </row>
    <row s="13141" customFormat="1" customHeight="1" ht="18.75" hidden="1">
      <c r="A267" s="2007"/>
      <c r="B267" s="2007"/>
      <c r="C267" s="596" t="s">
        <v>1154</v>
      </c>
      <c r="D267" s="2689"/>
      <c r="E267" s="2431"/>
      <c r="F267" s="2610"/>
      <c r="G267" s="2654"/>
      <c r="H267" s="1727"/>
      <c r="I267" s="878" t="s">
        <v>1153</v>
      </c>
      <c r="J267" s="798"/>
      <c r="K267" s="1727"/>
      <c r="L267" s="441"/>
      <c r="M267" s="568"/>
      <c r="N267" s="561"/>
      <c r="O267" s="1851"/>
      <c r="P267" s="1851"/>
      <c r="AH267" s="1858">
        <v>0</v>
      </c>
    </row>
    <row s="13141" customFormat="1" customHeight="1" ht="0.75" hidden="1">
      <c r="A268" s="2007"/>
      <c r="B268" s="2007"/>
      <c r="C268" s="596" t="s">
        <v>1163</v>
      </c>
      <c r="D268" s="2689"/>
      <c r="E268" s="2431"/>
      <c r="F268" s="2610"/>
      <c r="G268" s="627"/>
      <c r="H268" s="1727"/>
      <c r="I268" s="878"/>
      <c r="J268" s="798"/>
      <c r="K268" s="1727"/>
      <c r="L268" s="441"/>
      <c r="M268" s="568"/>
      <c r="N268" s="561"/>
      <c r="O268" s="1851"/>
      <c r="P268" s="1851"/>
      <c r="AH268" s="1858">
        <v>0</v>
      </c>
    </row>
    <row s="13141" customFormat="1" customHeight="1" ht="18.75" hidden="1">
      <c r="A269" s="2007" t="s">
        <v>255</v>
      </c>
      <c r="B269" s="2007" t="s">
        <v>256</v>
      </c>
      <c r="C269" s="596"/>
      <c r="D269" s="2689"/>
      <c r="E269" s="2431"/>
      <c r="F269" s="2610" t="str">
        <f>INDEX(PT_DIFFERENTIATION_VTAR,MATCH(A269,PT_DIFFERENTIATION_VTAR_ID,0))</f>
        <v>Тариф на горячую воду (горячее водоснабжение)</v>
      </c>
      <c r="G269" s="2654" t="str">
        <f>INDEX(PT_DIFFERENTIATION_NTAR,MATCH(B269,PT_DIFFERENTIATION_NTAR_ID,0))</f>
        <v/>
      </c>
      <c r="H269" s="2089"/>
      <c r="I269" s="1966"/>
      <c r="J269" s="2000"/>
      <c r="K269" s="2005"/>
      <c r="L269" s="2089" t="s">
        <v>311</v>
      </c>
      <c r="M269" s="568"/>
      <c r="N269" s="561"/>
      <c r="O269" s="1851"/>
      <c r="P269" s="1851"/>
      <c r="AH269" s="1858">
        <v>0</v>
      </c>
    </row>
    <row s="13141" customFormat="1" customHeight="1" ht="18.75" hidden="1">
      <c r="A270" s="2007"/>
      <c r="B270" s="2007"/>
      <c r="C270" s="596" t="s">
        <v>1154</v>
      </c>
      <c r="D270" s="2689"/>
      <c r="E270" s="2431"/>
      <c r="F270" s="2610"/>
      <c r="G270" s="2654"/>
      <c r="H270" s="1727"/>
      <c r="I270" s="878" t="s">
        <v>1153</v>
      </c>
      <c r="J270" s="798"/>
      <c r="K270" s="1727"/>
      <c r="L270" s="441"/>
      <c r="M270" s="568"/>
      <c r="N270" s="561"/>
      <c r="O270" s="1851"/>
      <c r="P270" s="1851"/>
      <c r="AH270" s="1858">
        <v>0</v>
      </c>
    </row>
    <row s="13141" customFormat="1" customHeight="1" ht="0.75" hidden="1">
      <c r="A271" s="2007"/>
      <c r="B271" s="2007"/>
      <c r="C271" s="596" t="s">
        <v>1163</v>
      </c>
      <c r="D271" s="2689"/>
      <c r="E271" s="2431"/>
      <c r="F271" s="2610"/>
      <c r="G271" s="627"/>
      <c r="H271" s="1727"/>
      <c r="I271" s="878"/>
      <c r="J271" s="798"/>
      <c r="K271" s="1727"/>
      <c r="L271" s="441"/>
      <c r="M271" s="568"/>
      <c r="N271" s="561"/>
      <c r="O271" s="1851"/>
      <c r="P271" s="1851"/>
      <c r="AH271" s="1858">
        <v>0</v>
      </c>
    </row>
    <row s="13141" customFormat="1" customHeight="1" ht="18.75" hidden="1">
      <c r="A272" s="2007" t="s">
        <v>260</v>
      </c>
      <c r="B272" s="2007" t="s">
        <v>261</v>
      </c>
      <c r="C272" s="596"/>
      <c r="D272" s="2689"/>
      <c r="E272" s="2431"/>
      <c r="F272" s="2610" t="str">
        <f>INDEX(PT_DIFFERENTIATION_VTAR,MATCH(A272,PT_DIFFERENTIATION_VTAR_ID,0))</f>
        <v>Тариф на транспортировку горячей воды</v>
      </c>
      <c r="G272" s="2654" t="str">
        <f>INDEX(PT_DIFFERENTIATION_NTAR,MATCH(B272,PT_DIFFERENTIATION_NTAR_ID,0))</f>
        <v/>
      </c>
      <c r="H272" s="2089"/>
      <c r="I272" s="1966"/>
      <c r="J272" s="2000"/>
      <c r="K272" s="2005"/>
      <c r="L272" s="2089" t="s">
        <v>311</v>
      </c>
      <c r="M272" s="568"/>
      <c r="N272" s="561"/>
      <c r="O272" s="1851"/>
      <c r="P272" s="1851"/>
      <c r="AH272" s="1858">
        <v>0</v>
      </c>
    </row>
    <row s="13141" customFormat="1" customHeight="1" ht="18.75" hidden="1">
      <c r="A273" s="2007"/>
      <c r="B273" s="2007"/>
      <c r="C273" s="596" t="s">
        <v>1154</v>
      </c>
      <c r="D273" s="2689"/>
      <c r="E273" s="2431"/>
      <c r="F273" s="2610"/>
      <c r="G273" s="2654"/>
      <c r="H273" s="1727"/>
      <c r="I273" s="878" t="s">
        <v>1153</v>
      </c>
      <c r="J273" s="798"/>
      <c r="K273" s="1727"/>
      <c r="L273" s="441"/>
      <c r="M273" s="568"/>
      <c r="N273" s="561"/>
      <c r="O273" s="1851"/>
      <c r="P273" s="1851"/>
      <c r="AH273" s="1858">
        <v>0</v>
      </c>
    </row>
    <row s="13141" customFormat="1" customHeight="1" ht="0.75" hidden="1">
      <c r="A274" s="2007"/>
      <c r="B274" s="2007"/>
      <c r="C274" s="596" t="s">
        <v>1163</v>
      </c>
      <c r="D274" s="2689"/>
      <c r="E274" s="2431"/>
      <c r="F274" s="2610"/>
      <c r="G274" s="627"/>
      <c r="H274" s="1727"/>
      <c r="I274" s="878"/>
      <c r="J274" s="798"/>
      <c r="K274" s="1727"/>
      <c r="L274" s="441"/>
      <c r="M274" s="568"/>
      <c r="N274" s="561"/>
      <c r="O274" s="1851"/>
      <c r="P274" s="1851"/>
      <c r="AH274" s="1858">
        <v>0</v>
      </c>
    </row>
    <row s="13141" customFormat="1" customHeight="1" ht="18.75" hidden="1">
      <c r="A275" s="2007" t="s">
        <v>265</v>
      </c>
      <c r="B275" s="2007" t="s">
        <v>266</v>
      </c>
      <c r="C275" s="596"/>
      <c r="D275" s="2689"/>
      <c r="E275" s="2431"/>
      <c r="F275" s="2610" t="str">
        <f>INDEX(PT_DIFFERENTIATION_VTAR,MATCH(A275,PT_DIFFERENTIATION_VTAR_ID,0))</f>
        <v>Тариф на подключение (технологическое присоединение) к централизованной системе горячего водоснабжения</v>
      </c>
      <c r="G275" s="2654" t="str">
        <f>INDEX(PT_DIFFERENTIATION_NTAR,MATCH(B275,PT_DIFFERENTIATION_NTAR_ID,0))</f>
        <v/>
      </c>
      <c r="H275" s="2089"/>
      <c r="I275" s="1966"/>
      <c r="J275" s="2000"/>
      <c r="K275" s="2005"/>
      <c r="L275" s="2089" t="s">
        <v>311</v>
      </c>
      <c r="M275" s="568"/>
      <c r="N275" s="561"/>
      <c r="O275" s="1851"/>
      <c r="P275" s="1851"/>
      <c r="AH275" s="1858">
        <v>0</v>
      </c>
    </row>
    <row s="13141" customFormat="1" customHeight="1" ht="18.75" hidden="1">
      <c r="A276" s="2007"/>
      <c r="B276" s="2007"/>
      <c r="C276" s="596" t="s">
        <v>1154</v>
      </c>
      <c r="D276" s="2689"/>
      <c r="E276" s="2431"/>
      <c r="F276" s="2610"/>
      <c r="G276" s="2654"/>
      <c r="H276" s="1727"/>
      <c r="I276" s="878" t="s">
        <v>1153</v>
      </c>
      <c r="J276" s="798"/>
      <c r="K276" s="1727"/>
      <c r="L276" s="441"/>
      <c r="M276" s="568"/>
      <c r="N276" s="561"/>
      <c r="O276" s="1851"/>
      <c r="P276" s="1851"/>
      <c r="AH276" s="1858">
        <v>0</v>
      </c>
    </row>
    <row s="13141" customFormat="1" customHeight="1" ht="0.75" hidden="1">
      <c r="A277" s="2007"/>
      <c r="B277" s="2007"/>
      <c r="C277" s="596" t="s">
        <v>1163</v>
      </c>
      <c r="D277" s="2689"/>
      <c r="E277" s="2431"/>
      <c r="F277" s="2610"/>
      <c r="G277" s="627"/>
      <c r="H277" s="1727"/>
      <c r="I277" s="878"/>
      <c r="J277" s="798"/>
      <c r="K277" s="1727"/>
      <c r="L277" s="441"/>
      <c r="M277" s="568"/>
      <c r="N277" s="561"/>
      <c r="O277" s="1851"/>
      <c r="P277" s="1851"/>
      <c r="AH277" s="1858">
        <v>0</v>
      </c>
    </row>
    <row s="13141" customFormat="1" customHeight="1" ht="18.75" hidden="1">
      <c r="A278" s="2007" t="s">
        <v>270</v>
      </c>
      <c r="B278" s="2007" t="s">
        <v>271</v>
      </c>
      <c r="C278" s="596"/>
      <c r="D278" s="2689"/>
      <c r="E278" s="2431"/>
      <c r="F278" s="2610" t="str">
        <f>INDEX(PT_DIFFERENTIATION_VTAR,MATCH(A278,PT_DIFFERENTIATION_VTAR_ID,0))</f>
        <v>Тариф на водоотведение</v>
      </c>
      <c r="G278" s="2654" t="str">
        <f>INDEX(PT_DIFFERENTIATION_NTAR,MATCH(B278,PT_DIFFERENTIATION_NTAR_ID,0))</f>
        <v/>
      </c>
      <c r="H278" s="2089"/>
      <c r="I278" s="1966"/>
      <c r="J278" s="2000"/>
      <c r="K278" s="2005"/>
      <c r="L278" s="2089" t="s">
        <v>311</v>
      </c>
      <c r="M278" s="568"/>
      <c r="N278" s="561"/>
      <c r="O278" s="1851"/>
      <c r="P278" s="1851"/>
      <c r="AH278" s="1858">
        <v>0</v>
      </c>
    </row>
    <row s="13141" customFormat="1" customHeight="1" ht="18.75" hidden="1">
      <c r="A279" s="2007"/>
      <c r="B279" s="2007"/>
      <c r="C279" s="596" t="s">
        <v>1154</v>
      </c>
      <c r="D279" s="2689"/>
      <c r="E279" s="2431"/>
      <c r="F279" s="2610"/>
      <c r="G279" s="2654"/>
      <c r="H279" s="1727"/>
      <c r="I279" s="878" t="s">
        <v>1153</v>
      </c>
      <c r="J279" s="798"/>
      <c r="K279" s="1727"/>
      <c r="L279" s="441"/>
      <c r="M279" s="568"/>
      <c r="N279" s="561"/>
      <c r="O279" s="1851"/>
      <c r="P279" s="1851"/>
      <c r="AH279" s="1858">
        <v>0</v>
      </c>
    </row>
    <row s="13141" customFormat="1" customHeight="1" ht="0.75" hidden="1">
      <c r="A280" s="2007"/>
      <c r="B280" s="2007"/>
      <c r="C280" s="596" t="s">
        <v>1163</v>
      </c>
      <c r="D280" s="2689"/>
      <c r="E280" s="2431"/>
      <c r="F280" s="2610"/>
      <c r="G280" s="627"/>
      <c r="H280" s="1727"/>
      <c r="I280" s="878"/>
      <c r="J280" s="798"/>
      <c r="K280" s="1727"/>
      <c r="L280" s="441"/>
      <c r="M280" s="568"/>
      <c r="N280" s="561"/>
      <c r="O280" s="1851"/>
      <c r="P280" s="1851"/>
      <c r="AH280" s="1858">
        <v>0</v>
      </c>
    </row>
    <row s="13141" customFormat="1" customHeight="1" ht="18.75" hidden="1">
      <c r="A281" s="2007" t="s">
        <v>275</v>
      </c>
      <c r="B281" s="2007" t="s">
        <v>276</v>
      </c>
      <c r="C281" s="596"/>
      <c r="D281" s="2689"/>
      <c r="E281" s="2431"/>
      <c r="F281" s="2610" t="str">
        <f>INDEX(PT_DIFFERENTIATION_VTAR,MATCH(A281,PT_DIFFERENTIATION_VTAR_ID,0))</f>
        <v>Тариф на транспортировку сточных вод</v>
      </c>
      <c r="G281" s="2654" t="str">
        <f>INDEX(PT_DIFFERENTIATION_NTAR,MATCH(B281,PT_DIFFERENTIATION_NTAR_ID,0))</f>
        <v/>
      </c>
      <c r="H281" s="2089"/>
      <c r="I281" s="1966"/>
      <c r="J281" s="2000"/>
      <c r="K281" s="2005"/>
      <c r="L281" s="2089" t="s">
        <v>311</v>
      </c>
      <c r="M281" s="568"/>
      <c r="N281" s="561"/>
      <c r="O281" s="1851"/>
      <c r="P281" s="1851"/>
      <c r="AH281" s="1858">
        <v>0</v>
      </c>
    </row>
    <row s="13141" customFormat="1" customHeight="1" ht="18.75" hidden="1">
      <c r="A282" s="2007"/>
      <c r="B282" s="2007"/>
      <c r="C282" s="596" t="s">
        <v>1154</v>
      </c>
      <c r="D282" s="2689"/>
      <c r="E282" s="2431"/>
      <c r="F282" s="2610"/>
      <c r="G282" s="2654"/>
      <c r="H282" s="1727"/>
      <c r="I282" s="878" t="s">
        <v>1153</v>
      </c>
      <c r="J282" s="798"/>
      <c r="K282" s="1727"/>
      <c r="L282" s="441"/>
      <c r="M282" s="568"/>
      <c r="N282" s="561"/>
      <c r="O282" s="1851"/>
      <c r="P282" s="1851"/>
      <c r="AH282" s="1858">
        <v>0</v>
      </c>
    </row>
    <row s="13141" customFormat="1" customHeight="1" ht="0.75" hidden="1">
      <c r="A283" s="2007"/>
      <c r="B283" s="2007"/>
      <c r="C283" s="596" t="s">
        <v>1163</v>
      </c>
      <c r="D283" s="2689"/>
      <c r="E283" s="2431"/>
      <c r="F283" s="2610"/>
      <c r="G283" s="627"/>
      <c r="H283" s="1727"/>
      <c r="I283" s="878"/>
      <c r="J283" s="798"/>
      <c r="K283" s="1727"/>
      <c r="L283" s="441"/>
      <c r="M283" s="568"/>
      <c r="N283" s="561"/>
      <c r="O283" s="1851"/>
      <c r="P283" s="1851"/>
      <c r="AH283" s="1858">
        <v>0</v>
      </c>
    </row>
    <row s="13141" customFormat="1" customHeight="1" ht="18.75" hidden="1">
      <c r="A284" s="2007" t="s">
        <v>280</v>
      </c>
      <c r="B284" s="2007" t="s">
        <v>281</v>
      </c>
      <c r="C284" s="596"/>
      <c r="D284" s="2689"/>
      <c r="E284" s="2431"/>
      <c r="F284" s="2610" t="str">
        <f>INDEX(PT_DIFFERENTIATION_VTAR,MATCH(A284,PT_DIFFERENTIATION_VTAR_ID,0))</f>
        <v>Тариф на подключение (технологическое присоединение) к централизованной системе водоотведения</v>
      </c>
      <c r="G284" s="2654" t="str">
        <f>INDEX(PT_DIFFERENTIATION_NTAR,MATCH(B284,PT_DIFFERENTIATION_NTAR_ID,0))</f>
        <v/>
      </c>
      <c r="H284" s="2089"/>
      <c r="I284" s="1966"/>
      <c r="J284" s="2000"/>
      <c r="K284" s="2005"/>
      <c r="L284" s="2089" t="s">
        <v>311</v>
      </c>
      <c r="M284" s="568"/>
      <c r="N284" s="561"/>
      <c r="O284" s="1851"/>
      <c r="P284" s="1851"/>
      <c r="AH284" s="1858">
        <v>0</v>
      </c>
    </row>
    <row s="13141" customFormat="1" customHeight="1" ht="18.75" hidden="1">
      <c r="A285" s="2007"/>
      <c r="B285" s="2007"/>
      <c r="C285" s="596" t="s">
        <v>1154</v>
      </c>
      <c r="D285" s="2689"/>
      <c r="E285" s="2431"/>
      <c r="F285" s="2610"/>
      <c r="G285" s="2654"/>
      <c r="H285" s="1727"/>
      <c r="I285" s="878" t="s">
        <v>1153</v>
      </c>
      <c r="J285" s="798"/>
      <c r="K285" s="1727"/>
      <c r="L285" s="441"/>
      <c r="M285" s="568"/>
      <c r="N285" s="561"/>
      <c r="O285" s="1851"/>
      <c r="P285" s="1851"/>
      <c r="AH285" s="1858">
        <v>0</v>
      </c>
    </row>
    <row s="13141" customFormat="1" customHeight="1" ht="1.05">
      <c r="A286" s="2007"/>
      <c r="B286" s="2007"/>
      <c r="C286" s="596" t="s">
        <v>1163</v>
      </c>
      <c r="D286" s="2689"/>
      <c r="E286" s="2431"/>
      <c r="F286" s="2610"/>
      <c r="G286" s="627"/>
      <c r="H286" s="1727"/>
      <c r="I286" s="878"/>
      <c r="J286" s="798"/>
      <c r="K286" s="1727"/>
      <c r="L286" s="441"/>
      <c r="M286" s="568"/>
      <c r="N286" s="561"/>
      <c r="O286" s="1851"/>
      <c r="P286" s="1851"/>
      <c r="AH286" s="1858">
        <v>1</v>
      </c>
    </row>
    <row customHeight="1" ht="27.299999999999997">
      <c r="A287" s="2007"/>
      <c r="B287" s="2007"/>
      <c r="D287" s="603"/>
      <c r="E287" s="374" t="s">
        <v>92</v>
      </c>
      <c r="F287"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7" s="2687"/>
      <c r="H287" s="2687"/>
      <c r="I287" s="2687"/>
      <c r="J287" s="2687"/>
      <c r="K287" s="2687"/>
      <c r="L287" s="2687"/>
      <c r="M287" s="524"/>
      <c r="N287" s="561"/>
      <c r="AH287" s="601">
        <v>26</v>
      </c>
    </row>
    <row s="13141" customFormat="1" customHeight="1" ht="60.75" hidden="1">
      <c r="A288" s="2007" t="s">
        <v>155</v>
      </c>
      <c r="B288" s="2007" t="s">
        <v>156</v>
      </c>
      <c r="C288" s="596"/>
      <c r="D288" s="2689"/>
      <c r="E288" s="2431"/>
      <c r="F288" s="2610" t="str">
        <f>INDEX(PT_DIFFERENTIATION_VTAR,MATCH(A288,PT_DIFFERENTIATION_VTAR_ID,0))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8" s="2654" t="str">
        <f>INDEX(PT_DIFFERENTIATION_NTAR,MATCH(B288,PT_DIFFERENTIATION_NTAR_ID,0))</f>
        <v/>
      </c>
      <c r="H288" s="2089"/>
      <c r="I288" s="1966"/>
      <c r="J288" s="2000"/>
      <c r="K288" s="2005"/>
      <c r="L288" s="2089" t="s">
        <v>311</v>
      </c>
      <c r="M28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8" s="561"/>
      <c r="O288" s="1851"/>
      <c r="P288" s="1851"/>
      <c r="AH288" s="1858">
        <v>0</v>
      </c>
    </row>
    <row s="13141" customFormat="1" customHeight="1" ht="18.75" hidden="1">
      <c r="A289" s="2007"/>
      <c r="B289" s="2007"/>
      <c r="C289" s="596" t="s">
        <v>1154</v>
      </c>
      <c r="D289" s="2689"/>
      <c r="E289" s="2431"/>
      <c r="F289" s="2610"/>
      <c r="G289" s="2654"/>
      <c r="H289" s="1727"/>
      <c r="I289" s="878" t="s">
        <v>1153</v>
      </c>
      <c r="J289" s="798"/>
      <c r="K289" s="1727"/>
      <c r="L289" s="441"/>
      <c r="M289" s="2397"/>
      <c r="N289" s="561"/>
      <c r="O289" s="1851"/>
      <c r="P289" s="1851"/>
      <c r="AH289" s="1858">
        <v>0</v>
      </c>
    </row>
    <row s="13141" customFormat="1" customHeight="1" ht="0.75" hidden="1">
      <c r="A290" s="2007"/>
      <c r="B290" s="2007"/>
      <c r="C290" s="596" t="s">
        <v>1163</v>
      </c>
      <c r="D290" s="2689"/>
      <c r="E290" s="2431"/>
      <c r="F290" s="2610"/>
      <c r="G290" s="627"/>
      <c r="H290" s="1727"/>
      <c r="I290" s="878"/>
      <c r="J290" s="798"/>
      <c r="K290" s="1727"/>
      <c r="L290" s="441"/>
      <c r="M290" s="2397"/>
      <c r="N290" s="561"/>
      <c r="O290" s="1851"/>
      <c r="P290" s="1851"/>
      <c r="AH290" s="1858">
        <v>0</v>
      </c>
    </row>
    <row s="13141" customFormat="1" customHeight="1" ht="45" hidden="1">
      <c r="A291" s="2007" t="s">
        <v>160</v>
      </c>
      <c r="B291" s="2007" t="s">
        <v>161</v>
      </c>
      <c r="C291" s="596"/>
      <c r="D291" s="2689"/>
      <c r="E291" s="2431"/>
      <c r="F291" s="2610" t="str">
        <f>INDEX(PT_DIFFERENTIATION_VTAR,MATCH(A291,PT_DIFFERENTIATION_VTAR_ID,0))</f>
        <v/>
      </c>
      <c r="G291" s="2654" t="str">
        <f>INDEX(PT_DIFFERENTIATION_NTAR,MATCH(B291,PT_DIFFERENTIATION_NTAR_ID,0))</f>
        <v/>
      </c>
      <c r="H291" s="2089"/>
      <c r="I291" s="1966"/>
      <c r="J291" s="2000"/>
      <c r="K291" s="2005"/>
      <c r="L291" s="2089" t="s">
        <v>311</v>
      </c>
      <c r="M291" s="2398"/>
      <c r="N291" s="561"/>
      <c r="O291" s="1851"/>
      <c r="P291" s="1851"/>
      <c r="AH291" s="1858">
        <v>0</v>
      </c>
    </row>
    <row s="13141" customFormat="1" customHeight="1" ht="18.75" hidden="1">
      <c r="A292" s="2007"/>
      <c r="B292" s="2007"/>
      <c r="C292" s="596" t="s">
        <v>1154</v>
      </c>
      <c r="D292" s="2689"/>
      <c r="E292" s="2431"/>
      <c r="F292" s="2610"/>
      <c r="G292" s="2654"/>
      <c r="H292" s="1727"/>
      <c r="I292" s="878" t="s">
        <v>1153</v>
      </c>
      <c r="J292" s="798"/>
      <c r="K292" s="1727"/>
      <c r="L292" s="441"/>
      <c r="M292" s="2088"/>
      <c r="N292" s="561"/>
      <c r="O292" s="1851"/>
      <c r="P292" s="1851"/>
      <c r="AH292" s="1858">
        <v>0</v>
      </c>
    </row>
    <row s="13141" customFormat="1" customHeight="1" ht="0.75" hidden="1">
      <c r="A293" s="2007"/>
      <c r="B293" s="2007"/>
      <c r="C293" s="596" t="s">
        <v>1163</v>
      </c>
      <c r="D293" s="2689"/>
      <c r="E293" s="2431"/>
      <c r="F293" s="2610"/>
      <c r="G293" s="627"/>
      <c r="H293" s="1727"/>
      <c r="I293" s="878"/>
      <c r="J293" s="798"/>
      <c r="K293" s="1727"/>
      <c r="L293" s="441"/>
      <c r="M293" s="568"/>
      <c r="N293" s="561"/>
      <c r="O293" s="1851"/>
      <c r="P293" s="1851"/>
      <c r="AH293" s="1858">
        <v>0</v>
      </c>
    </row>
    <row s="13141" customFormat="1" customHeight="1" ht="45" hidden="1">
      <c r="A294" s="2007" t="s">
        <v>167</v>
      </c>
      <c r="B294" s="2007" t="s">
        <v>168</v>
      </c>
      <c r="C294" s="596"/>
      <c r="D294" s="2689"/>
      <c r="E294" s="2431"/>
      <c r="F294" s="2610"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2654" t="str">
        <f>INDEX(PT_DIFFERENTIATION_NTAR,MATCH(B294,PT_DIFFERENTIATION_NTAR_ID,0))</f>
        <v/>
      </c>
      <c r="H294" s="2089"/>
      <c r="I294" s="1966"/>
      <c r="J294" s="2000"/>
      <c r="K294" s="2005"/>
      <c r="L294" s="2089" t="s">
        <v>311</v>
      </c>
      <c r="M294" s="568"/>
      <c r="N294" s="561"/>
      <c r="O294" s="1851"/>
      <c r="P294" s="1851"/>
      <c r="AH294" s="1858">
        <v>0</v>
      </c>
    </row>
    <row s="13141" customFormat="1" customHeight="1" ht="18.75" hidden="1">
      <c r="A295" s="2007"/>
      <c r="B295" s="2007"/>
      <c r="C295" s="596" t="s">
        <v>1154</v>
      </c>
      <c r="D295" s="2689"/>
      <c r="E295" s="2431"/>
      <c r="F295" s="2610"/>
      <c r="G295" s="2654"/>
      <c r="H295" s="1727"/>
      <c r="I295" s="878" t="s">
        <v>1153</v>
      </c>
      <c r="J295" s="798"/>
      <c r="K295" s="1727"/>
      <c r="L295" s="441"/>
      <c r="M295" s="568"/>
      <c r="N295" s="561"/>
      <c r="O295" s="1851"/>
      <c r="P295" s="1851"/>
      <c r="AH295" s="1858">
        <v>0</v>
      </c>
    </row>
    <row s="13141" customFormat="1" customHeight="1" ht="0.75" hidden="1">
      <c r="A296" s="2007"/>
      <c r="B296" s="2007"/>
      <c r="C296" s="596" t="s">
        <v>1163</v>
      </c>
      <c r="D296" s="2689"/>
      <c r="E296" s="2431"/>
      <c r="F296" s="2610"/>
      <c r="G296" s="627"/>
      <c r="H296" s="1727"/>
      <c r="I296" s="878"/>
      <c r="J296" s="798"/>
      <c r="K296" s="1727"/>
      <c r="L296" s="441"/>
      <c r="M296" s="568"/>
      <c r="N296" s="561"/>
      <c r="O296" s="1851"/>
      <c r="P296" s="1851"/>
      <c r="AH296" s="1858">
        <v>0</v>
      </c>
    </row>
    <row s="13141" customFormat="1" customHeight="1" ht="45" hidden="1">
      <c r="A297" s="2007" t="s">
        <v>173</v>
      </c>
      <c r="B297" s="2007" t="s">
        <v>174</v>
      </c>
      <c r="C297" s="596"/>
      <c r="D297" s="2689"/>
      <c r="E297" s="2431"/>
      <c r="F297" s="2610"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2654" t="str">
        <f>INDEX(PT_DIFFERENTIATION_NTAR,MATCH(B297,PT_DIFFERENTIATION_NTAR_ID,0))</f>
        <v/>
      </c>
      <c r="H297" s="2089"/>
      <c r="I297" s="1966"/>
      <c r="J297" s="2000"/>
      <c r="K297" s="2005"/>
      <c r="L297" s="2089" t="s">
        <v>311</v>
      </c>
      <c r="M297" s="568"/>
      <c r="N297" s="561"/>
      <c r="O297" s="1851"/>
      <c r="P297" s="1851"/>
      <c r="AH297" s="1858">
        <v>0</v>
      </c>
    </row>
    <row s="13141" customFormat="1" customHeight="1" ht="18.75" hidden="1">
      <c r="A298" s="2007"/>
      <c r="B298" s="2007"/>
      <c r="C298" s="596" t="s">
        <v>1154</v>
      </c>
      <c r="D298" s="2689"/>
      <c r="E298" s="2431"/>
      <c r="F298" s="2610"/>
      <c r="G298" s="2654"/>
      <c r="H298" s="1727"/>
      <c r="I298" s="878" t="s">
        <v>1153</v>
      </c>
      <c r="J298" s="798"/>
      <c r="K298" s="1727"/>
      <c r="L298" s="441"/>
      <c r="M298" s="568"/>
      <c r="N298" s="561"/>
      <c r="O298" s="1851"/>
      <c r="P298" s="1851"/>
      <c r="AH298" s="1858">
        <v>0</v>
      </c>
    </row>
    <row s="13141" customFormat="1" customHeight="1" ht="0.75" hidden="1">
      <c r="A299" s="2007"/>
      <c r="B299" s="2007"/>
      <c r="C299" s="596" t="s">
        <v>1163</v>
      </c>
      <c r="D299" s="2689"/>
      <c r="E299" s="2431"/>
      <c r="F299" s="2610"/>
      <c r="G299" s="627"/>
      <c r="H299" s="1727"/>
      <c r="I299" s="878"/>
      <c r="J299" s="798"/>
      <c r="K299" s="1727"/>
      <c r="L299" s="441"/>
      <c r="M299" s="568"/>
      <c r="N299" s="561"/>
      <c r="O299" s="1851"/>
      <c r="P299" s="1851"/>
      <c r="AH299" s="1858">
        <v>0</v>
      </c>
    </row>
    <row s="13141" customFormat="1" customHeight="1" ht="18.75" hidden="1">
      <c r="A300" s="2007" t="s">
        <v>179</v>
      </c>
      <c r="B300" s="2007" t="s">
        <v>180</v>
      </c>
      <c r="C300" s="596"/>
      <c r="D300" s="2689"/>
      <c r="E300" s="2431"/>
      <c r="F300" s="2610" t="str">
        <f>INDEX(PT_DIFFERENTIATION_VTAR,MATCH(A300,PT_DIFFERENTIATION_VTAR_ID,0))</f>
        <v>Тарифы на услуги по передаче тепловой энергии</v>
      </c>
      <c r="G300" s="2654" t="str">
        <f>INDEX(PT_DIFFERENTIATION_NTAR,MATCH(B300,PT_DIFFERENTIATION_NTAR_ID,0))</f>
        <v/>
      </c>
      <c r="H300" s="2089"/>
      <c r="I300" s="1966"/>
      <c r="J300" s="2000"/>
      <c r="K300" s="2005"/>
      <c r="L300" s="2089" t="s">
        <v>311</v>
      </c>
      <c r="M300" s="568"/>
      <c r="N300" s="561"/>
      <c r="O300" s="1851"/>
      <c r="P300" s="1851"/>
      <c r="AH300" s="1858">
        <v>0</v>
      </c>
    </row>
    <row s="13141" customFormat="1" customHeight="1" ht="18.75" hidden="1">
      <c r="A301" s="2007"/>
      <c r="B301" s="2007"/>
      <c r="C301" s="596" t="s">
        <v>1154</v>
      </c>
      <c r="D301" s="2689"/>
      <c r="E301" s="2431"/>
      <c r="F301" s="2610"/>
      <c r="G301" s="2654"/>
      <c r="H301" s="1727"/>
      <c r="I301" s="878" t="s">
        <v>1153</v>
      </c>
      <c r="J301" s="798"/>
      <c r="K301" s="1727"/>
      <c r="L301" s="441"/>
      <c r="M301" s="568"/>
      <c r="N301" s="561"/>
      <c r="O301" s="1851"/>
      <c r="P301" s="1851"/>
      <c r="AH301" s="1858">
        <v>0</v>
      </c>
    </row>
    <row s="13141" customFormat="1" customHeight="1" ht="0.75" hidden="1">
      <c r="A302" s="2007"/>
      <c r="B302" s="2007"/>
      <c r="C302" s="596" t="s">
        <v>1163</v>
      </c>
      <c r="D302" s="2689"/>
      <c r="E302" s="2431"/>
      <c r="F302" s="2610"/>
      <c r="G302" s="627"/>
      <c r="H302" s="1727"/>
      <c r="I302" s="878"/>
      <c r="J302" s="798"/>
      <c r="K302" s="1727"/>
      <c r="L302" s="441"/>
      <c r="M302" s="568"/>
      <c r="N302" s="561"/>
      <c r="O302" s="1851"/>
      <c r="P302" s="1851"/>
      <c r="AH302" s="1858">
        <v>0</v>
      </c>
    </row>
    <row s="13141" customFormat="1" customHeight="1" ht="18.75" hidden="1">
      <c r="A303" s="2007" t="s">
        <v>185</v>
      </c>
      <c r="B303" s="2007" t="s">
        <v>186</v>
      </c>
      <c r="C303" s="596"/>
      <c r="D303" s="2689"/>
      <c r="E303" s="2431"/>
      <c r="F303" s="2610" t="str">
        <f>INDEX(PT_DIFFERENTIATION_VTAR,MATCH(A303,PT_DIFFERENTIATION_VTAR_ID,0))</f>
        <v>Тарифы на услуги по передаче теплоносителя</v>
      </c>
      <c r="G303" s="2654" t="str">
        <f>INDEX(PT_DIFFERENTIATION_NTAR,MATCH(B303,PT_DIFFERENTIATION_NTAR_ID,0))</f>
        <v/>
      </c>
      <c r="H303" s="2089"/>
      <c r="I303" s="1966"/>
      <c r="J303" s="2000"/>
      <c r="K303" s="2005"/>
      <c r="L303" s="2089" t="s">
        <v>311</v>
      </c>
      <c r="M303" s="568"/>
      <c r="N303" s="561"/>
      <c r="O303" s="1851"/>
      <c r="P303" s="1851"/>
      <c r="AH303" s="1858">
        <v>0</v>
      </c>
    </row>
    <row s="13141" customFormat="1" customHeight="1" ht="18.75" hidden="1">
      <c r="A304" s="2007"/>
      <c r="B304" s="2007"/>
      <c r="C304" s="596" t="s">
        <v>1154</v>
      </c>
      <c r="D304" s="2689"/>
      <c r="E304" s="2431"/>
      <c r="F304" s="2610"/>
      <c r="G304" s="2654"/>
      <c r="H304" s="1727"/>
      <c r="I304" s="878" t="s">
        <v>1153</v>
      </c>
      <c r="J304" s="798"/>
      <c r="K304" s="1727"/>
      <c r="L304" s="441"/>
      <c r="M304" s="568"/>
      <c r="N304" s="561"/>
      <c r="O304" s="1851"/>
      <c r="P304" s="1851"/>
      <c r="AH304" s="1858">
        <v>0</v>
      </c>
    </row>
    <row s="13141" customFormat="1" customHeight="1" ht="0.75" hidden="1">
      <c r="A305" s="2007"/>
      <c r="B305" s="2007"/>
      <c r="C305" s="596" t="s">
        <v>1163</v>
      </c>
      <c r="D305" s="2689"/>
      <c r="E305" s="2431"/>
      <c r="F305" s="2610"/>
      <c r="G305" s="627"/>
      <c r="H305" s="1727"/>
      <c r="I305" s="878"/>
      <c r="J305" s="798"/>
      <c r="K305" s="1727"/>
      <c r="L305" s="441"/>
      <c r="M305" s="568"/>
      <c r="N305" s="561"/>
      <c r="O305" s="1851"/>
      <c r="P305" s="1851"/>
      <c r="AH305" s="1858">
        <v>0</v>
      </c>
    </row>
    <row s="13141" customFormat="1" customHeight="1" ht="18.75" hidden="1">
      <c r="A306" s="2007" t="s">
        <v>191</v>
      </c>
      <c r="B306" s="2007" t="s">
        <v>192</v>
      </c>
      <c r="C306" s="596"/>
      <c r="D306" s="2689"/>
      <c r="E306" s="2431"/>
      <c r="F306" s="2610" t="str">
        <f>INDEX(PT_DIFFERENTIATION_VTAR,MATCH(A306,PT_DIFFERENTIATION_VTAR_ID,0))</f>
        <v>Плата за услуги по поддержанию резервной тепловой мощности при отсутствии потребления тепловой энергии</v>
      </c>
      <c r="G306" s="2654" t="str">
        <f>INDEX(PT_DIFFERENTIATION_NTAR,MATCH(B306,PT_DIFFERENTIATION_NTAR_ID,0))</f>
        <v/>
      </c>
      <c r="H306" s="2089"/>
      <c r="I306" s="1966"/>
      <c r="J306" s="2000"/>
      <c r="K306" s="2005"/>
      <c r="L306" s="2089" t="s">
        <v>311</v>
      </c>
      <c r="M306" s="568"/>
      <c r="N306" s="561"/>
      <c r="O306" s="1851"/>
      <c r="P306" s="1851"/>
      <c r="AH306" s="1858">
        <v>0</v>
      </c>
    </row>
    <row s="13141" customFormat="1" customHeight="1" ht="18.75" hidden="1">
      <c r="A307" s="2007"/>
      <c r="B307" s="2007"/>
      <c r="C307" s="596" t="s">
        <v>1154</v>
      </c>
      <c r="D307" s="2689"/>
      <c r="E307" s="2431"/>
      <c r="F307" s="2610"/>
      <c r="G307" s="2654"/>
      <c r="H307" s="1727"/>
      <c r="I307" s="878" t="s">
        <v>1153</v>
      </c>
      <c r="J307" s="798"/>
      <c r="K307" s="1727"/>
      <c r="L307" s="441"/>
      <c r="M307" s="568"/>
      <c r="N307" s="561"/>
      <c r="O307" s="1851"/>
      <c r="P307" s="1851"/>
      <c r="AH307" s="1858">
        <v>0</v>
      </c>
    </row>
    <row s="13141" customFormat="1" customHeight="1" ht="0.75" hidden="1">
      <c r="A308" s="2007"/>
      <c r="B308" s="2007"/>
      <c r="C308" s="596" t="s">
        <v>1163</v>
      </c>
      <c r="D308" s="2689"/>
      <c r="E308" s="2431"/>
      <c r="F308" s="2610"/>
      <c r="G308" s="627"/>
      <c r="H308" s="1727"/>
      <c r="I308" s="878"/>
      <c r="J308" s="798"/>
      <c r="K308" s="1727"/>
      <c r="L308" s="441"/>
      <c r="M308" s="568"/>
      <c r="N308" s="561"/>
      <c r="O308" s="1851"/>
      <c r="P308" s="1851"/>
      <c r="AH308" s="1858">
        <v>0</v>
      </c>
    </row>
    <row s="13141" customFormat="1" customHeight="1" ht="18.75" hidden="1">
      <c r="A309" s="2007" t="s">
        <v>197</v>
      </c>
      <c r="B309" s="2007" t="s">
        <v>198</v>
      </c>
      <c r="C309" s="596"/>
      <c r="D309" s="2689"/>
      <c r="E309" s="2431"/>
      <c r="F309" s="2610" t="str">
        <f>INDEX(PT_DIFFERENTIATION_VTAR,MATCH(A309,PT_DIFFERENTIATION_VTAR_ID,0))</f>
        <v>Плата за подключение (технологическое присоединение) к системе теплоснабжения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3141" customFormat="1" customHeight="1" ht="18.75" hidden="1">
      <c r="A310" s="2007"/>
      <c r="B310" s="2007"/>
      <c r="C310" s="596" t="s">
        <v>1154</v>
      </c>
      <c r="D310" s="2689"/>
      <c r="E310" s="2431"/>
      <c r="F310" s="2610"/>
      <c r="G310" s="2654"/>
      <c r="H310" s="1727"/>
      <c r="I310" s="878" t="s">
        <v>1153</v>
      </c>
      <c r="J310" s="798"/>
      <c r="K310" s="1727"/>
      <c r="L310" s="441"/>
      <c r="M310" s="568"/>
      <c r="N310" s="561"/>
      <c r="O310" s="1851"/>
      <c r="P310" s="1851"/>
      <c r="AH310" s="1858">
        <v>0</v>
      </c>
    </row>
    <row s="13141" customFormat="1" customHeight="1" ht="0.75" hidden="1">
      <c r="A311" s="2007"/>
      <c r="B311" s="2007"/>
      <c r="C311" s="596" t="s">
        <v>1163</v>
      </c>
      <c r="D311" s="2689"/>
      <c r="E311" s="2431"/>
      <c r="F311" s="2610"/>
      <c r="G311" s="627"/>
      <c r="H311" s="1727"/>
      <c r="I311" s="878"/>
      <c r="J311" s="798"/>
      <c r="K311" s="1727"/>
      <c r="L311" s="441"/>
      <c r="M311" s="568"/>
      <c r="N311" s="561"/>
      <c r="O311" s="1851"/>
      <c r="P311" s="1851"/>
      <c r="AH311" s="1858">
        <v>0</v>
      </c>
    </row>
    <row s="13141" customFormat="1" customHeight="1" ht="18.75" hidden="1">
      <c r="A312" s="2007" t="s">
        <v>203</v>
      </c>
      <c r="B312" s="2007" t="s">
        <v>204</v>
      </c>
      <c r="C312" s="596"/>
      <c r="D312" s="2689"/>
      <c r="E312" s="2431"/>
      <c r="F312" s="2610" t="str">
        <f>INDEX(PT_DIFFERENTIATION_VTAR,MATCH(A312,PT_DIFFERENTIATION_VTAR_ID,0))</f>
        <v>Плата за подключение (технологическое присоединение) к системе теплоснабжения (индивидуальная)</v>
      </c>
      <c r="G312" s="2654" t="str">
        <f>INDEX(PT_DIFFERENTIATION_NTAR,MATCH(B312,PT_DIFFERENTIATION_NTAR_ID,0))</f>
        <v/>
      </c>
      <c r="H312" s="2216"/>
      <c r="I312" s="1966"/>
      <c r="J312" s="2000"/>
      <c r="K312" s="2005"/>
      <c r="L312" s="2216" t="s">
        <v>311</v>
      </c>
      <c r="M312" s="568"/>
      <c r="N312" s="561"/>
      <c r="O312" s="1851"/>
      <c r="P312" s="1851"/>
      <c r="AH312" s="1858">
        <v>0</v>
      </c>
    </row>
    <row s="13141" customFormat="1" customHeight="1" ht="18.75" hidden="1">
      <c r="A313" s="2007"/>
      <c r="B313" s="2007"/>
      <c r="C313" s="596" t="s">
        <v>1154</v>
      </c>
      <c r="D313" s="2689"/>
      <c r="E313" s="2431"/>
      <c r="F313" s="2610"/>
      <c r="G313" s="2654"/>
      <c r="H313" s="1727"/>
      <c r="I313" s="878" t="s">
        <v>1153</v>
      </c>
      <c r="J313" s="798"/>
      <c r="K313" s="1727"/>
      <c r="L313" s="441"/>
      <c r="M313" s="568"/>
      <c r="N313" s="561"/>
      <c r="O313" s="1851"/>
      <c r="P313" s="1851"/>
      <c r="AH313" s="1858">
        <v>0</v>
      </c>
    </row>
    <row s="13141" customFormat="1" customHeight="1" ht="0.75" hidden="1">
      <c r="A314" s="2007"/>
      <c r="B314" s="2007"/>
      <c r="C314" s="596" t="s">
        <v>1163</v>
      </c>
      <c r="D314" s="2689"/>
      <c r="E314" s="2431"/>
      <c r="F314" s="2610"/>
      <c r="G314" s="627"/>
      <c r="H314" s="1727"/>
      <c r="I314" s="878"/>
      <c r="J314" s="798"/>
      <c r="K314" s="1727"/>
      <c r="L314" s="441"/>
      <c r="M314" s="568"/>
      <c r="N314" s="561"/>
      <c r="O314" s="1851"/>
      <c r="P314" s="1851"/>
      <c r="AH314" s="1858">
        <v>0</v>
      </c>
    </row>
    <row s="13141" customFormat="1" customHeight="1" ht="18.75">
      <c r="A315" s="2007" t="s">
        <v>225</v>
      </c>
      <c r="B315" s="2007" t="s">
        <v>226</v>
      </c>
      <c r="C315" s="596"/>
      <c r="D315" s="2689"/>
      <c r="E315" s="2431"/>
      <c r="F315" s="2610" t="str">
        <f>INDEX(PT_DIFFERENTIATION_VTAR,MATCH(A315,PT_DIFFERENTIATION_VTAR_ID,0))</f>
        <v>Тариф на питьевую воду (питьевое водоснабжение)</v>
      </c>
      <c r="G315" s="2654" t="str">
        <f>INDEX(PT_DIFFERENTIATION_NTAR,MATCH(B315,PT_DIFFERENTIATION_NTAR_ID,0))</f>
        <v>Тариф  на  холодную  воду  питьевую</v>
      </c>
      <c r="H315" s="2089"/>
      <c r="I315" s="12330">
        <v>45658</v>
      </c>
      <c r="J315" s="12331">
        <v>46022</v>
      </c>
      <c r="K315" s="2005">
        <v>0</v>
      </c>
      <c r="L315" s="2089" t="s">
        <v>311</v>
      </c>
      <c r="M315" s="568"/>
      <c r="N315" s="561"/>
      <c r="O315" s="1851"/>
      <c r="P315" s="1851"/>
      <c r="AH315" s="1858">
        <v>0</v>
      </c>
    </row>
    <row s="13141" customFormat="1" customHeight="1" ht="18.75">
      <c r="A316" s="2007"/>
      <c r="B316" s="2007"/>
      <c r="C316" s="596" t="s">
        <v>1154</v>
      </c>
      <c r="D316" s="2689"/>
      <c r="E316" s="2431"/>
      <c r="F316" s="2610"/>
      <c r="G316" s="2654"/>
      <c r="H316" s="1727"/>
      <c r="I316" s="878" t="s">
        <v>1153</v>
      </c>
      <c r="J316" s="798"/>
      <c r="K316" s="1727"/>
      <c r="L316" s="441"/>
      <c r="M316" s="568"/>
      <c r="N316" s="561"/>
      <c r="O316" s="1851"/>
      <c r="P316" s="1851"/>
      <c r="AH316" s="1858">
        <v>0</v>
      </c>
    </row>
    <row s="13141" customFormat="1" customHeight="1" ht="0.75">
      <c r="A317" s="2007"/>
      <c r="B317" s="2007"/>
      <c r="C317" s="596" t="s">
        <v>1163</v>
      </c>
      <c r="D317" s="2689"/>
      <c r="E317" s="2431"/>
      <c r="F317" s="2610"/>
      <c r="G317" s="627"/>
      <c r="H317" s="1727"/>
      <c r="I317" s="878"/>
      <c r="J317" s="798"/>
      <c r="K317" s="1727"/>
      <c r="L317" s="441"/>
      <c r="M317" s="568"/>
      <c r="N317" s="561"/>
      <c r="O317" s="1851"/>
      <c r="P317" s="1851"/>
      <c r="AH317" s="1858">
        <v>0</v>
      </c>
    </row>
    <row s="13141" customFormat="1" customHeight="1" ht="18.75">
      <c r="A318" s="2007" t="s">
        <v>235</v>
      </c>
      <c r="B318" s="2007" t="s">
        <v>236</v>
      </c>
      <c r="C318" s="596"/>
      <c r="D318" s="2689"/>
      <c r="E318" s="2431"/>
      <c r="F318" s="2610" t="str">
        <f>INDEX(PT_DIFFERENTIATION_VTAR,MATCH(A318,PT_DIFFERENTIATION_VTAR_ID,0))</f>
        <v>Тариф на техническую воду</v>
      </c>
      <c r="G318" s="2654" t="str">
        <f>INDEX(PT_DIFFERENTIATION_NTAR,MATCH(B318,PT_DIFFERENTIATION_NTAR_ID,0))</f>
        <v>Тариф  на  техническую  воду</v>
      </c>
      <c r="H318" s="2089"/>
      <c r="I318" s="12330">
        <v>45658</v>
      </c>
      <c r="J318" s="12331">
        <v>46022</v>
      </c>
      <c r="K318" s="2005">
        <v>15263.73</v>
      </c>
      <c r="L318" s="2089" t="s">
        <v>311</v>
      </c>
      <c r="M318" s="568"/>
      <c r="N318" s="561"/>
      <c r="O318" s="1851"/>
      <c r="P318" s="1851"/>
      <c r="AH318" s="1858">
        <v>0</v>
      </c>
    </row>
    <row s="13141" customFormat="1" customHeight="1" ht="18.75">
      <c r="A319" s="2007"/>
      <c r="B319" s="2007"/>
      <c r="C319" s="596" t="s">
        <v>1154</v>
      </c>
      <c r="D319" s="2689"/>
      <c r="E319" s="2431"/>
      <c r="F319" s="2610"/>
      <c r="G319" s="2654"/>
      <c r="H319" s="1727"/>
      <c r="I319" s="878" t="s">
        <v>1153</v>
      </c>
      <c r="J319" s="798"/>
      <c r="K319" s="1727"/>
      <c r="L319" s="441"/>
      <c r="M319" s="568"/>
      <c r="N319" s="561"/>
      <c r="O319" s="1851"/>
      <c r="P319" s="1851"/>
      <c r="AH319" s="1858">
        <v>0</v>
      </c>
    </row>
    <row s="13141" customFormat="1" customHeight="1" ht="0.75">
      <c r="A320" s="2007"/>
      <c r="B320" s="2007"/>
      <c r="C320" s="596" t="s">
        <v>1163</v>
      </c>
      <c r="D320" s="2689"/>
      <c r="E320" s="2431"/>
      <c r="F320" s="2610"/>
      <c r="G320" s="627"/>
      <c r="H320" s="1727"/>
      <c r="I320" s="878"/>
      <c r="J320" s="798"/>
      <c r="K320" s="1727"/>
      <c r="L320" s="441"/>
      <c r="M320" s="568"/>
      <c r="N320" s="561"/>
      <c r="O320" s="1851"/>
      <c r="P320" s="1851"/>
      <c r="AH320" s="1858">
        <v>0</v>
      </c>
    </row>
    <row s="13141" customFormat="1" customHeight="1" ht="18.75" hidden="1">
      <c r="A321" s="2007" t="s">
        <v>240</v>
      </c>
      <c r="B321" s="2007" t="s">
        <v>241</v>
      </c>
      <c r="C321" s="596"/>
      <c r="D321" s="2689"/>
      <c r="E321" s="2431"/>
      <c r="F321" s="2610" t="str">
        <f>INDEX(PT_DIFFERENTIATION_VTAR,MATCH(A321,PT_DIFFERENTIATION_VTAR_ID,0))</f>
        <v>Тариф на транспортировку воды</v>
      </c>
      <c r="G321" s="2654" t="str">
        <f>INDEX(PT_DIFFERENTIATION_NTAR,MATCH(B321,PT_DIFFERENTIATION_NTAR_ID,0))</f>
        <v/>
      </c>
      <c r="H321" s="2089"/>
      <c r="I321" s="1966"/>
      <c r="J321" s="2000"/>
      <c r="K321" s="2005"/>
      <c r="L321" s="2089" t="s">
        <v>311</v>
      </c>
      <c r="M321" s="568"/>
      <c r="N321" s="561"/>
      <c r="O321" s="1851"/>
      <c r="P321" s="1851"/>
      <c r="AH321" s="1858">
        <v>0</v>
      </c>
    </row>
    <row s="13141" customFormat="1" customHeight="1" ht="18.75" hidden="1">
      <c r="A322" s="2007"/>
      <c r="B322" s="2007"/>
      <c r="C322" s="596" t="s">
        <v>1154</v>
      </c>
      <c r="D322" s="2689"/>
      <c r="E322" s="2431"/>
      <c r="F322" s="2610"/>
      <c r="G322" s="2654"/>
      <c r="H322" s="1727"/>
      <c r="I322" s="878" t="s">
        <v>1153</v>
      </c>
      <c r="J322" s="798"/>
      <c r="K322" s="1727"/>
      <c r="L322" s="441"/>
      <c r="M322" s="568"/>
      <c r="N322" s="561"/>
      <c r="O322" s="1851"/>
      <c r="P322" s="1851"/>
      <c r="AH322" s="1858">
        <v>0</v>
      </c>
    </row>
    <row s="13141" customFormat="1" customHeight="1" ht="0.75" hidden="1">
      <c r="A323" s="2007"/>
      <c r="B323" s="2007"/>
      <c r="C323" s="596" t="s">
        <v>1163</v>
      </c>
      <c r="D323" s="2689"/>
      <c r="E323" s="2431"/>
      <c r="F323" s="2610"/>
      <c r="G323" s="627"/>
      <c r="H323" s="1727"/>
      <c r="I323" s="878"/>
      <c r="J323" s="798"/>
      <c r="K323" s="1727"/>
      <c r="L323" s="441"/>
      <c r="M323" s="568"/>
      <c r="N323" s="561"/>
      <c r="O323" s="1851"/>
      <c r="P323" s="1851"/>
      <c r="AH323" s="1858">
        <v>0</v>
      </c>
    </row>
    <row s="13141" customFormat="1" customHeight="1" ht="18.75" hidden="1">
      <c r="A324" s="2007" t="s">
        <v>245</v>
      </c>
      <c r="B324" s="2007" t="s">
        <v>246</v>
      </c>
      <c r="C324" s="596"/>
      <c r="D324" s="2689"/>
      <c r="E324" s="2431"/>
      <c r="F324" s="2610" t="str">
        <f>INDEX(PT_DIFFERENTIATION_VTAR,MATCH(A324,PT_DIFFERENTIATION_VTAR_ID,0))</f>
        <v>Тариф на подвоз воды</v>
      </c>
      <c r="G324" s="2654" t="str">
        <f>INDEX(PT_DIFFERENTIATION_NTAR,MATCH(B324,PT_DIFFERENTIATION_NTAR_ID,0))</f>
        <v/>
      </c>
      <c r="H324" s="2089"/>
      <c r="I324" s="1966"/>
      <c r="J324" s="2000"/>
      <c r="K324" s="2005"/>
      <c r="L324" s="2089" t="s">
        <v>311</v>
      </c>
      <c r="M324" s="568"/>
      <c r="N324" s="561"/>
      <c r="O324" s="1851"/>
      <c r="P324" s="1851"/>
      <c r="AH324" s="1858">
        <v>0</v>
      </c>
    </row>
    <row s="13141" customFormat="1" customHeight="1" ht="18.75" hidden="1">
      <c r="A325" s="2007"/>
      <c r="B325" s="2007"/>
      <c r="C325" s="596" t="s">
        <v>1154</v>
      </c>
      <c r="D325" s="2689"/>
      <c r="E325" s="2431"/>
      <c r="F325" s="2610"/>
      <c r="G325" s="2654"/>
      <c r="H325" s="1727"/>
      <c r="I325" s="878" t="s">
        <v>1153</v>
      </c>
      <c r="J325" s="798"/>
      <c r="K325" s="1727"/>
      <c r="L325" s="441"/>
      <c r="M325" s="568"/>
      <c r="N325" s="561"/>
      <c r="O325" s="1851"/>
      <c r="P325" s="1851"/>
      <c r="AH325" s="1858">
        <v>0</v>
      </c>
    </row>
    <row s="13141" customFormat="1" customHeight="1" ht="0.75" hidden="1">
      <c r="A326" s="2007"/>
      <c r="B326" s="2007"/>
      <c r="C326" s="596" t="s">
        <v>1163</v>
      </c>
      <c r="D326" s="2689"/>
      <c r="E326" s="2431"/>
      <c r="F326" s="2610"/>
      <c r="G326" s="627"/>
      <c r="H326" s="1727"/>
      <c r="I326" s="878"/>
      <c r="J326" s="798"/>
      <c r="K326" s="1727"/>
      <c r="L326" s="441"/>
      <c r="M326" s="568"/>
      <c r="N326" s="561"/>
      <c r="O326" s="1851"/>
      <c r="P326" s="1851"/>
      <c r="AH326" s="1858">
        <v>0</v>
      </c>
    </row>
    <row s="13141" customFormat="1" customHeight="1" ht="18.75" hidden="1">
      <c r="A327" s="2007" t="s">
        <v>250</v>
      </c>
      <c r="B327" s="2007" t="s">
        <v>251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холодного водоснабжения</v>
      </c>
      <c r="G327" s="2654" t="str">
        <f>INDEX(PT_DIFFERENTIATION_NTAR,MATCH(B327,PT_DIFFERENTIATION_NTAR_ID,0))</f>
        <v/>
      </c>
      <c r="H327" s="2089"/>
      <c r="I327" s="1966"/>
      <c r="J327" s="2000"/>
      <c r="K327" s="2005"/>
      <c r="L327" s="2089" t="s">
        <v>311</v>
      </c>
      <c r="M327" s="568"/>
      <c r="N327" s="561"/>
      <c r="O327" s="1851"/>
      <c r="P327" s="1851"/>
      <c r="AH327" s="1858">
        <v>0</v>
      </c>
    </row>
    <row s="13141" customFormat="1" customHeight="1" ht="18.75" hidden="1">
      <c r="A328" s="2007"/>
      <c r="B328" s="2007"/>
      <c r="C328" s="596" t="s">
        <v>1154</v>
      </c>
      <c r="D328" s="2689"/>
      <c r="E328" s="2431"/>
      <c r="F328" s="2610"/>
      <c r="G328" s="2654"/>
      <c r="H328" s="1727"/>
      <c r="I328" s="878" t="s">
        <v>1153</v>
      </c>
      <c r="J328" s="798"/>
      <c r="K328" s="1727"/>
      <c r="L328" s="441"/>
      <c r="M328" s="568"/>
      <c r="N328" s="561"/>
      <c r="O328" s="1851"/>
      <c r="P328" s="1851"/>
      <c r="AH328" s="1858">
        <v>0</v>
      </c>
    </row>
    <row s="13141" customFormat="1" customHeight="1" ht="0.75" hidden="1">
      <c r="A329" s="2007"/>
      <c r="B329" s="2007"/>
      <c r="C329" s="596" t="s">
        <v>1163</v>
      </c>
      <c r="D329" s="2689"/>
      <c r="E329" s="2431"/>
      <c r="F329" s="2610"/>
      <c r="G329" s="627"/>
      <c r="H329" s="1727"/>
      <c r="I329" s="878"/>
      <c r="J329" s="798"/>
      <c r="K329" s="1727"/>
      <c r="L329" s="441"/>
      <c r="M329" s="568"/>
      <c r="N329" s="561"/>
      <c r="O329" s="1851"/>
      <c r="P329" s="1851"/>
      <c r="AH329" s="1858">
        <v>0</v>
      </c>
    </row>
    <row s="13141" customFormat="1" customHeight="1" ht="18.75" hidden="1">
      <c r="A330" s="2007" t="s">
        <v>255</v>
      </c>
      <c r="B330" s="2007" t="s">
        <v>256</v>
      </c>
      <c r="C330" s="596"/>
      <c r="D330" s="2689"/>
      <c r="E330" s="2431"/>
      <c r="F330" s="2610" t="str">
        <f>INDEX(PT_DIFFERENTIATION_VTAR,MATCH(A330,PT_DIFFERENTIATION_VTAR_ID,0))</f>
        <v>Тариф на горячую воду (горячее водоснабжение)</v>
      </c>
      <c r="G330" s="2654" t="str">
        <f>INDEX(PT_DIFFERENTIATION_NTAR,MATCH(B330,PT_DIFFERENTIATION_NTAR_ID,0))</f>
        <v/>
      </c>
      <c r="H330" s="2089"/>
      <c r="I330" s="1966"/>
      <c r="J330" s="2000"/>
      <c r="K330" s="2005"/>
      <c r="L330" s="2089" t="s">
        <v>311</v>
      </c>
      <c r="M330" s="568"/>
      <c r="N330" s="561"/>
      <c r="O330" s="1851"/>
      <c r="P330" s="1851"/>
      <c r="AH330" s="1858">
        <v>0</v>
      </c>
    </row>
    <row s="13141" customFormat="1" customHeight="1" ht="18.75" hidden="1">
      <c r="A331" s="2007"/>
      <c r="B331" s="2007"/>
      <c r="C331" s="596" t="s">
        <v>1154</v>
      </c>
      <c r="D331" s="2689"/>
      <c r="E331" s="2431"/>
      <c r="F331" s="2610"/>
      <c r="G331" s="2654"/>
      <c r="H331" s="1727"/>
      <c r="I331" s="878" t="s">
        <v>1153</v>
      </c>
      <c r="J331" s="798"/>
      <c r="K331" s="1727"/>
      <c r="L331" s="441"/>
      <c r="M331" s="568"/>
      <c r="N331" s="561"/>
      <c r="O331" s="1851"/>
      <c r="P331" s="1851"/>
      <c r="AH331" s="1858">
        <v>0</v>
      </c>
    </row>
    <row s="13141" customFormat="1" customHeight="1" ht="0.75" hidden="1">
      <c r="A332" s="2007"/>
      <c r="B332" s="2007"/>
      <c r="C332" s="596" t="s">
        <v>1163</v>
      </c>
      <c r="D332" s="2689"/>
      <c r="E332" s="2431"/>
      <c r="F332" s="2610"/>
      <c r="G332" s="627"/>
      <c r="H332" s="1727"/>
      <c r="I332" s="878"/>
      <c r="J332" s="798"/>
      <c r="K332" s="1727"/>
      <c r="L332" s="441"/>
      <c r="M332" s="568"/>
      <c r="N332" s="561"/>
      <c r="O332" s="1851"/>
      <c r="P332" s="1851"/>
      <c r="AH332" s="1858">
        <v>0</v>
      </c>
    </row>
    <row s="13141" customFormat="1" customHeight="1" ht="18.75" hidden="1">
      <c r="A333" s="2007" t="s">
        <v>260</v>
      </c>
      <c r="B333" s="2007" t="s">
        <v>261</v>
      </c>
      <c r="C333" s="596"/>
      <c r="D333" s="2689"/>
      <c r="E333" s="2431"/>
      <c r="F333" s="2610" t="str">
        <f>INDEX(PT_DIFFERENTIATION_VTAR,MATCH(A333,PT_DIFFERENTIATION_VTAR_ID,0))</f>
        <v>Тариф на транспортировку горячей воды</v>
      </c>
      <c r="G333" s="2654" t="str">
        <f>INDEX(PT_DIFFERENTIATION_NTAR,MATCH(B333,PT_DIFFERENTIATION_NTAR_ID,0))</f>
        <v/>
      </c>
      <c r="H333" s="2089"/>
      <c r="I333" s="1966"/>
      <c r="J333" s="2000"/>
      <c r="K333" s="2005"/>
      <c r="L333" s="2089" t="s">
        <v>311</v>
      </c>
      <c r="M333" s="568"/>
      <c r="N333" s="561"/>
      <c r="O333" s="1851"/>
      <c r="P333" s="1851"/>
      <c r="AH333" s="1858">
        <v>0</v>
      </c>
    </row>
    <row s="13141" customFormat="1" customHeight="1" ht="18.75" hidden="1">
      <c r="A334" s="2007"/>
      <c r="B334" s="2007"/>
      <c r="C334" s="596" t="s">
        <v>1154</v>
      </c>
      <c r="D334" s="2689"/>
      <c r="E334" s="2431"/>
      <c r="F334" s="2610"/>
      <c r="G334" s="2654"/>
      <c r="H334" s="1727"/>
      <c r="I334" s="878" t="s">
        <v>1153</v>
      </c>
      <c r="J334" s="798"/>
      <c r="K334" s="1727"/>
      <c r="L334" s="441"/>
      <c r="M334" s="568"/>
      <c r="N334" s="561"/>
      <c r="O334" s="1851"/>
      <c r="P334" s="1851"/>
      <c r="AH334" s="1858">
        <v>0</v>
      </c>
    </row>
    <row s="13141" customFormat="1" customHeight="1" ht="0.75" hidden="1">
      <c r="A335" s="2007"/>
      <c r="B335" s="2007"/>
      <c r="C335" s="596" t="s">
        <v>1163</v>
      </c>
      <c r="D335" s="2689"/>
      <c r="E335" s="2431"/>
      <c r="F335" s="2610"/>
      <c r="G335" s="627"/>
      <c r="H335" s="1727"/>
      <c r="I335" s="878"/>
      <c r="J335" s="798"/>
      <c r="K335" s="1727"/>
      <c r="L335" s="441"/>
      <c r="M335" s="568"/>
      <c r="N335" s="561"/>
      <c r="O335" s="1851"/>
      <c r="P335" s="1851"/>
      <c r="AH335" s="1858">
        <v>0</v>
      </c>
    </row>
    <row s="13141" customFormat="1" customHeight="1" ht="18.75" hidden="1">
      <c r="A336" s="2007" t="s">
        <v>265</v>
      </c>
      <c r="B336" s="2007" t="s">
        <v>266</v>
      </c>
      <c r="C336" s="596"/>
      <c r="D336" s="2689"/>
      <c r="E336" s="2431"/>
      <c r="F336" s="2610" t="str">
        <f>INDEX(PT_DIFFERENTIATION_VTAR,MATCH(A336,PT_DIFFERENTIATION_VTAR_ID,0))</f>
        <v>Тариф на подключение (технологическое присоединение) к централизованной системе горячего водоснабжения</v>
      </c>
      <c r="G336" s="2654" t="str">
        <f>INDEX(PT_DIFFERENTIATION_NTAR,MATCH(B336,PT_DIFFERENTIATION_NTAR_ID,0))</f>
        <v/>
      </c>
      <c r="H336" s="2089"/>
      <c r="I336" s="1966"/>
      <c r="J336" s="2000"/>
      <c r="K336" s="2005"/>
      <c r="L336" s="2089" t="s">
        <v>311</v>
      </c>
      <c r="M336" s="568"/>
      <c r="N336" s="561"/>
      <c r="O336" s="1851"/>
      <c r="P336" s="1851"/>
      <c r="AH336" s="1858">
        <v>0</v>
      </c>
    </row>
    <row s="13141" customFormat="1" customHeight="1" ht="18.75" hidden="1">
      <c r="A337" s="2007"/>
      <c r="B337" s="2007"/>
      <c r="C337" s="596" t="s">
        <v>1154</v>
      </c>
      <c r="D337" s="2689"/>
      <c r="E337" s="2431"/>
      <c r="F337" s="2610"/>
      <c r="G337" s="2654"/>
      <c r="H337" s="1727"/>
      <c r="I337" s="878" t="s">
        <v>1153</v>
      </c>
      <c r="J337" s="798"/>
      <c r="K337" s="1727"/>
      <c r="L337" s="441"/>
      <c r="M337" s="568"/>
      <c r="N337" s="561"/>
      <c r="O337" s="1851"/>
      <c r="P337" s="1851"/>
      <c r="AH337" s="1858">
        <v>0</v>
      </c>
    </row>
    <row s="13141" customFormat="1" customHeight="1" ht="0.75" hidden="1">
      <c r="A338" s="2007"/>
      <c r="B338" s="2007"/>
      <c r="C338" s="596" t="s">
        <v>1163</v>
      </c>
      <c r="D338" s="2689"/>
      <c r="E338" s="2431"/>
      <c r="F338" s="2610"/>
      <c r="G338" s="627"/>
      <c r="H338" s="1727"/>
      <c r="I338" s="878"/>
      <c r="J338" s="798"/>
      <c r="K338" s="1727"/>
      <c r="L338" s="441"/>
      <c r="M338" s="568"/>
      <c r="N338" s="561"/>
      <c r="O338" s="1851"/>
      <c r="P338" s="1851"/>
      <c r="AH338" s="1858">
        <v>0</v>
      </c>
    </row>
    <row s="13141" customFormat="1" customHeight="1" ht="18.75" hidden="1">
      <c r="A339" s="2007" t="s">
        <v>270</v>
      </c>
      <c r="B339" s="2007" t="s">
        <v>271</v>
      </c>
      <c r="C339" s="596"/>
      <c r="D339" s="2689"/>
      <c r="E339" s="2431"/>
      <c r="F339" s="2610" t="str">
        <f>INDEX(PT_DIFFERENTIATION_VTAR,MATCH(A339,PT_DIFFERENTIATION_VTAR_ID,0))</f>
        <v>Тариф на водоотведение</v>
      </c>
      <c r="G339" s="2654" t="str">
        <f>INDEX(PT_DIFFERENTIATION_NTAR,MATCH(B339,PT_DIFFERENTIATION_NTAR_ID,0))</f>
        <v/>
      </c>
      <c r="H339" s="2089"/>
      <c r="I339" s="1966"/>
      <c r="J339" s="2000"/>
      <c r="K339" s="2005"/>
      <c r="L339" s="2089" t="s">
        <v>311</v>
      </c>
      <c r="M339" s="568"/>
      <c r="N339" s="561"/>
      <c r="O339" s="1851"/>
      <c r="P339" s="1851"/>
      <c r="AH339" s="1858">
        <v>0</v>
      </c>
    </row>
    <row s="13141" customFormat="1" customHeight="1" ht="18.75" hidden="1">
      <c r="A340" s="2007"/>
      <c r="B340" s="2007"/>
      <c r="C340" s="596" t="s">
        <v>1154</v>
      </c>
      <c r="D340" s="2689"/>
      <c r="E340" s="2431"/>
      <c r="F340" s="2610"/>
      <c r="G340" s="2654"/>
      <c r="H340" s="1727"/>
      <c r="I340" s="878" t="s">
        <v>1153</v>
      </c>
      <c r="J340" s="798"/>
      <c r="K340" s="1727"/>
      <c r="L340" s="441"/>
      <c r="M340" s="568"/>
      <c r="N340" s="561"/>
      <c r="O340" s="1851"/>
      <c r="P340" s="1851"/>
      <c r="AH340" s="1858">
        <v>0</v>
      </c>
    </row>
    <row s="13141" customFormat="1" customHeight="1" ht="0.75" hidden="1">
      <c r="A341" s="2007"/>
      <c r="B341" s="2007"/>
      <c r="C341" s="596" t="s">
        <v>1163</v>
      </c>
      <c r="D341" s="2689"/>
      <c r="E341" s="2431"/>
      <c r="F341" s="2610"/>
      <c r="G341" s="627"/>
      <c r="H341" s="1727"/>
      <c r="I341" s="878"/>
      <c r="J341" s="798"/>
      <c r="K341" s="1727"/>
      <c r="L341" s="441"/>
      <c r="M341" s="568"/>
      <c r="N341" s="561"/>
      <c r="O341" s="1851"/>
      <c r="P341" s="1851"/>
      <c r="AH341" s="1858">
        <v>0</v>
      </c>
    </row>
    <row s="13141" customFormat="1" customHeight="1" ht="18.75" hidden="1">
      <c r="A342" s="2007" t="s">
        <v>275</v>
      </c>
      <c r="B342" s="2007" t="s">
        <v>276</v>
      </c>
      <c r="C342" s="596"/>
      <c r="D342" s="2689"/>
      <c r="E342" s="2431"/>
      <c r="F342" s="2610" t="str">
        <f>INDEX(PT_DIFFERENTIATION_VTAR,MATCH(A342,PT_DIFFERENTIATION_VTAR_ID,0))</f>
        <v>Тариф на транспортировку сточных вод</v>
      </c>
      <c r="G342" s="2654" t="str">
        <f>INDEX(PT_DIFFERENTIATION_NTAR,MATCH(B342,PT_DIFFERENTIATION_NTAR_ID,0))</f>
        <v/>
      </c>
      <c r="H342" s="2089"/>
      <c r="I342" s="1966"/>
      <c r="J342" s="2000"/>
      <c r="K342" s="2005"/>
      <c r="L342" s="2089" t="s">
        <v>311</v>
      </c>
      <c r="M342" s="568"/>
      <c r="N342" s="561"/>
      <c r="O342" s="1851"/>
      <c r="P342" s="1851"/>
      <c r="AH342" s="1858">
        <v>0</v>
      </c>
    </row>
    <row s="13141" customFormat="1" customHeight="1" ht="18.75" hidden="1">
      <c r="A343" s="2007"/>
      <c r="B343" s="2007"/>
      <c r="C343" s="596" t="s">
        <v>1154</v>
      </c>
      <c r="D343" s="2689"/>
      <c r="E343" s="2431"/>
      <c r="F343" s="2610"/>
      <c r="G343" s="2654"/>
      <c r="H343" s="1727"/>
      <c r="I343" s="878" t="s">
        <v>1153</v>
      </c>
      <c r="J343" s="798"/>
      <c r="K343" s="1727"/>
      <c r="L343" s="441"/>
      <c r="M343" s="568"/>
      <c r="N343" s="561"/>
      <c r="O343" s="1851"/>
      <c r="P343" s="1851"/>
      <c r="AH343" s="1858">
        <v>0</v>
      </c>
    </row>
    <row s="13141" customFormat="1" customHeight="1" ht="0.75" hidden="1">
      <c r="A344" s="2007"/>
      <c r="B344" s="2007"/>
      <c r="C344" s="596" t="s">
        <v>1163</v>
      </c>
      <c r="D344" s="2689"/>
      <c r="E344" s="2431"/>
      <c r="F344" s="2610"/>
      <c r="G344" s="627"/>
      <c r="H344" s="1727"/>
      <c r="I344" s="878"/>
      <c r="J344" s="798"/>
      <c r="K344" s="1727"/>
      <c r="L344" s="441"/>
      <c r="M344" s="568"/>
      <c r="N344" s="561"/>
      <c r="O344" s="1851"/>
      <c r="P344" s="1851"/>
      <c r="AH344" s="1858">
        <v>0</v>
      </c>
    </row>
    <row s="13141" customFormat="1" customHeight="1" ht="18.75" hidden="1">
      <c r="A345" s="2007" t="s">
        <v>280</v>
      </c>
      <c r="B345" s="2007" t="s">
        <v>281</v>
      </c>
      <c r="C345" s="596"/>
      <c r="D345" s="2689"/>
      <c r="E345" s="2431"/>
      <c r="F345" s="2610" t="str">
        <f>INDEX(PT_DIFFERENTIATION_VTAR,MATCH(A345,PT_DIFFERENTIATION_VTAR_ID,0))</f>
        <v>Тариф на подключение (технологическое присоединение) к централизованной системе водоотведения</v>
      </c>
      <c r="G345" s="2654" t="str">
        <f>INDEX(PT_DIFFERENTIATION_NTAR,MATCH(B345,PT_DIFFERENTIATION_NTAR_ID,0))</f>
        <v/>
      </c>
      <c r="H345" s="2089"/>
      <c r="I345" s="1966"/>
      <c r="J345" s="2000"/>
      <c r="K345" s="2005"/>
      <c r="L345" s="2089" t="s">
        <v>311</v>
      </c>
      <c r="M345" s="568"/>
      <c r="N345" s="561"/>
      <c r="O345" s="1851"/>
      <c r="P345" s="1851"/>
      <c r="AH345" s="1858">
        <v>0</v>
      </c>
    </row>
    <row s="13141" customFormat="1" customHeight="1" ht="18.75" hidden="1">
      <c r="A346" s="2007"/>
      <c r="B346" s="2007"/>
      <c r="C346" s="596" t="s">
        <v>1154</v>
      </c>
      <c r="D346" s="2689"/>
      <c r="E346" s="2431"/>
      <c r="F346" s="2610"/>
      <c r="G346" s="2654"/>
      <c r="H346" s="1727"/>
      <c r="I346" s="878" t="s">
        <v>1153</v>
      </c>
      <c r="J346" s="798"/>
      <c r="K346" s="1727"/>
      <c r="L346" s="441"/>
      <c r="M346" s="568"/>
      <c r="N346" s="561"/>
      <c r="O346" s="1851"/>
      <c r="P346" s="1851"/>
      <c r="AH346" s="1858">
        <v>0</v>
      </c>
    </row>
    <row s="13141" customFormat="1" customHeight="1" ht="1.05">
      <c r="A347" s="2007"/>
      <c r="B347" s="2007"/>
      <c r="C347" s="596" t="s">
        <v>1163</v>
      </c>
      <c r="D347" s="2689"/>
      <c r="E347" s="2431"/>
      <c r="F347" s="2610"/>
      <c r="G347" s="627"/>
      <c r="H347" s="1727"/>
      <c r="I347" s="878"/>
      <c r="J347" s="798"/>
      <c r="K347" s="1727"/>
      <c r="L347" s="441"/>
      <c r="M347" s="568"/>
      <c r="N347" s="561"/>
      <c r="O347" s="1851"/>
      <c r="P347" s="1851"/>
      <c r="AH347" s="1858">
        <v>1</v>
      </c>
    </row>
    <row s="15802" customFormat="1" customHeight="1" ht="3">
      <c r="A348" s="2007"/>
      <c r="B348" s="2007"/>
      <c r="C348" s="2008"/>
      <c r="E348" s="629"/>
      <c r="F348" s="629"/>
      <c r="G348" s="629"/>
      <c r="H348" s="629"/>
      <c r="I348" s="629"/>
      <c r="J348" s="629"/>
      <c r="K348" s="629"/>
      <c r="L348" s="629"/>
      <c r="M348" s="629"/>
      <c r="O348" s="423"/>
      <c r="P348" s="423"/>
      <c r="AH348" s="367">
        <v>3</v>
      </c>
    </row>
    <row customHeight="1" ht="26.25">
      <c r="E349" s="429"/>
      <c r="F349" s="2512"/>
      <c r="G349" s="2512"/>
      <c r="H349" s="2512"/>
      <c r="I349" s="2512"/>
      <c r="J349" s="2512"/>
      <c r="K349" s="2512"/>
      <c r="L349" s="2512"/>
      <c r="M349" s="2512"/>
      <c r="AH349" s="601">
        <v>25</v>
      </c>
    </row>
    <row customHeight="1" ht="14.25" hidden="1">
      <c r="A350" s="2006" t="s">
        <v>82</v>
      </c>
      <c r="B350" s="2006">
        <v>0</v>
      </c>
      <c r="C350" s="596">
        <v>0</v>
      </c>
      <c r="D350" s="571">
        <v>3</v>
      </c>
      <c r="E350" s="601">
        <v>6</v>
      </c>
      <c r="F350" s="601">
        <v>46</v>
      </c>
      <c r="G350" s="601">
        <v>35</v>
      </c>
      <c r="H350" s="601">
        <v>3</v>
      </c>
      <c r="I350" s="601">
        <v>11</v>
      </c>
      <c r="J350" s="601">
        <v>11</v>
      </c>
      <c r="K350" s="601">
        <v>35</v>
      </c>
      <c r="L350" s="601">
        <v>35</v>
      </c>
      <c r="M350" s="601">
        <v>84</v>
      </c>
      <c r="N350" s="601">
        <v>10</v>
      </c>
      <c r="O350" s="577">
        <v>10</v>
      </c>
      <c r="P350" s="577">
        <v>10</v>
      </c>
      <c r="Q350" s="601">
        <v>10</v>
      </c>
      <c r="R350" s="601">
        <v>10</v>
      </c>
      <c r="S350" s="601">
        <v>10</v>
      </c>
      <c r="T350" s="601">
        <v>10</v>
      </c>
      <c r="U350" s="601">
        <v>10</v>
      </c>
      <c r="V350" s="601">
        <v>10</v>
      </c>
      <c r="W350" s="601">
        <v>10</v>
      </c>
      <c r="X350" s="601">
        <v>10</v>
      </c>
      <c r="Y350" s="601">
        <v>10</v>
      </c>
      <c r="Z350" s="601">
        <v>10</v>
      </c>
      <c r="AA350" s="601">
        <v>10</v>
      </c>
      <c r="AB350" s="601">
        <v>10</v>
      </c>
      <c r="AC350" s="601">
        <v>10</v>
      </c>
      <c r="AD350" s="601">
        <v>10</v>
      </c>
      <c r="AE350" s="601">
        <v>10</v>
      </c>
      <c r="AF350" s="601">
        <v>10</v>
      </c>
      <c r="AG350" s="601">
        <v>10</v>
      </c>
      <c r="AH350"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82:D184"/>
    <mergeCell ref="E182:E184"/>
    <mergeCell ref="F182:F184"/>
    <mergeCell ref="G182:G183"/>
    <mergeCell ref="D69:D71"/>
    <mergeCell ref="E69:E71"/>
    <mergeCell ref="F69:F71"/>
    <mergeCell ref="D90:D92"/>
    <mergeCell ref="E90:E92"/>
    <mergeCell ref="D72:D74"/>
    <mergeCell ref="E72:E74"/>
    <mergeCell ref="F72:F74"/>
    <mergeCell ref="G167:G168"/>
    <mergeCell ref="G170:G17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4:F326"/>
    <mergeCell ref="G321:G32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9:M349"/>
    <mergeCell ref="F287:L287"/>
    <mergeCell ref="D288:D290"/>
    <mergeCell ref="E288:E290"/>
    <mergeCell ref="F288:F290"/>
    <mergeCell ref="D291:D293"/>
    <mergeCell ref="E291:E293"/>
    <mergeCell ref="F291:F293"/>
    <mergeCell ref="D294:D296"/>
    <mergeCell ref="D300:D302"/>
    <mergeCell ref="E300:E302"/>
    <mergeCell ref="F300:F302"/>
    <mergeCell ref="D303:D305"/>
    <mergeCell ref="E303:E305"/>
    <mergeCell ref="F303:F305"/>
    <mergeCell ref="E294:E296"/>
    <mergeCell ref="F294:F296"/>
    <mergeCell ref="D297:D299"/>
    <mergeCell ref="E297:E299"/>
    <mergeCell ref="F321:F323"/>
    <mergeCell ref="D324:D326"/>
    <mergeCell ref="E324:E326"/>
    <mergeCell ref="D345:D347"/>
    <mergeCell ref="E345:E347"/>
    <mergeCell ref="G45:G46"/>
    <mergeCell ref="G51:G52"/>
    <mergeCell ref="G54:G55"/>
    <mergeCell ref="G57:G58"/>
    <mergeCell ref="M227:M230"/>
    <mergeCell ref="M87:M90"/>
    <mergeCell ref="F157:L157"/>
    <mergeCell ref="M158:M161"/>
    <mergeCell ref="F226:L226"/>
    <mergeCell ref="F51:F53"/>
    <mergeCell ref="F54:F56"/>
    <mergeCell ref="F75:F77"/>
    <mergeCell ref="F78:F80"/>
    <mergeCell ref="F90:F92"/>
    <mergeCell ref="F93:F95"/>
    <mergeCell ref="M24:M83"/>
    <mergeCell ref="G42:G43"/>
    <mergeCell ref="G139:G140"/>
    <mergeCell ref="G142:G143"/>
    <mergeCell ref="G145:G146"/>
    <mergeCell ref="G148:G149"/>
    <mergeCell ref="G164:G16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21"/>
    <mergeCell ref="E114:E121"/>
    <mergeCell ref="F114:F121"/>
    <mergeCell ref="D102:D104"/>
    <mergeCell ref="E102:E104"/>
    <mergeCell ref="F102:F104"/>
    <mergeCell ref="D105:D107"/>
    <mergeCell ref="E105:E107"/>
    <mergeCell ref="F105:F107"/>
    <mergeCell ref="D122:D129"/>
    <mergeCell ref="E122:E129"/>
    <mergeCell ref="F122:F129"/>
    <mergeCell ref="D130:D132"/>
    <mergeCell ref="E130:E132"/>
    <mergeCell ref="F130:F132"/>
    <mergeCell ref="G130:G131"/>
    <mergeCell ref="G133:G134"/>
    <mergeCell ref="G136:G137"/>
    <mergeCell ref="D133:D135"/>
    <mergeCell ref="E133:E135"/>
    <mergeCell ref="F133:F135"/>
    <mergeCell ref="D136:D138"/>
    <mergeCell ref="E136:E138"/>
    <mergeCell ref="F136:F138"/>
    <mergeCell ref="D145:D147"/>
    <mergeCell ref="E145:E147"/>
    <mergeCell ref="F145:F147"/>
    <mergeCell ref="D148:D150"/>
    <mergeCell ref="E148:E150"/>
    <mergeCell ref="F148:F150"/>
    <mergeCell ref="D139:D141"/>
    <mergeCell ref="E139:E141"/>
    <mergeCell ref="F139:F141"/>
    <mergeCell ref="D142:D144"/>
    <mergeCell ref="E142:E144"/>
    <mergeCell ref="F142:F144"/>
    <mergeCell ref="G151:G152"/>
    <mergeCell ref="G154:G155"/>
    <mergeCell ref="G158:G159"/>
    <mergeCell ref="G161:G162"/>
    <mergeCell ref="D170:D172"/>
    <mergeCell ref="E170:E172"/>
    <mergeCell ref="F170:F172"/>
    <mergeCell ref="D173:D175"/>
    <mergeCell ref="E173:E175"/>
    <mergeCell ref="F173:F175"/>
    <mergeCell ref="D164:D166"/>
    <mergeCell ref="D161:D163"/>
    <mergeCell ref="E161:E163"/>
    <mergeCell ref="F161:F163"/>
    <mergeCell ref="D151:D153"/>
    <mergeCell ref="E151:E153"/>
    <mergeCell ref="F151:F153"/>
    <mergeCell ref="D154:D156"/>
    <mergeCell ref="E154:E156"/>
    <mergeCell ref="F154:F156"/>
    <mergeCell ref="D158:D160"/>
    <mergeCell ref="E158:E160"/>
    <mergeCell ref="F158:F160"/>
    <mergeCell ref="E164:E166"/>
    <mergeCell ref="F164:F166"/>
    <mergeCell ref="D167:D169"/>
    <mergeCell ref="E167:E169"/>
    <mergeCell ref="F167:F169"/>
    <mergeCell ref="D176:D178"/>
    <mergeCell ref="E176:E178"/>
    <mergeCell ref="F176:F178"/>
    <mergeCell ref="D179:D181"/>
    <mergeCell ref="E179:E181"/>
    <mergeCell ref="F179:F181"/>
    <mergeCell ref="D208:D210"/>
    <mergeCell ref="E208:E210"/>
    <mergeCell ref="F208:F210"/>
    <mergeCell ref="D199:D201"/>
    <mergeCell ref="E199:E201"/>
    <mergeCell ref="F199:F201"/>
    <mergeCell ref="D202:D204"/>
    <mergeCell ref="E202:E204"/>
    <mergeCell ref="F202:F204"/>
    <mergeCell ref="D185:D191"/>
    <mergeCell ref="E185:E191"/>
    <mergeCell ref="F185:F191"/>
    <mergeCell ref="D192:D198"/>
    <mergeCell ref="E192:E198"/>
    <mergeCell ref="F192:F198"/>
    <mergeCell ref="G192:G197"/>
    <mergeCell ref="D205:D207"/>
    <mergeCell ref="E205:E207"/>
    <mergeCell ref="F205:F207"/>
    <mergeCell ref="D211:D213"/>
    <mergeCell ref="E211:E213"/>
    <mergeCell ref="F211:F213"/>
    <mergeCell ref="D214:D216"/>
    <mergeCell ref="E214:E216"/>
    <mergeCell ref="F214:F216"/>
    <mergeCell ref="G211:G212"/>
    <mergeCell ref="G214:G215"/>
    <mergeCell ref="D233:D235"/>
    <mergeCell ref="E233:E235"/>
    <mergeCell ref="F233:F235"/>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2:D244"/>
    <mergeCell ref="E242:E244"/>
    <mergeCell ref="F242:F244"/>
    <mergeCell ref="D245:D247"/>
    <mergeCell ref="E245:E247"/>
    <mergeCell ref="F245:F247"/>
    <mergeCell ref="G245:G246"/>
    <mergeCell ref="D230:D232"/>
    <mergeCell ref="E230:E232"/>
    <mergeCell ref="F230:F232"/>
    <mergeCell ref="D236:D238"/>
    <mergeCell ref="E236:E238"/>
    <mergeCell ref="F236: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68"/>
    <mergeCell ref="E266:E268"/>
    <mergeCell ref="F266:F268"/>
    <mergeCell ref="G263:G264"/>
    <mergeCell ref="G266:G267"/>
    <mergeCell ref="G269:G270"/>
    <mergeCell ref="D284:D286"/>
    <mergeCell ref="E284:E286"/>
    <mergeCell ref="F284:F286"/>
    <mergeCell ref="D275:D277"/>
    <mergeCell ref="E275:E277"/>
    <mergeCell ref="F275:F277"/>
    <mergeCell ref="D278:D280"/>
    <mergeCell ref="E278:E280"/>
    <mergeCell ref="F278:F280"/>
    <mergeCell ref="D269:D271"/>
    <mergeCell ref="E269:E271"/>
    <mergeCell ref="F269:F271"/>
    <mergeCell ref="D272:D274"/>
    <mergeCell ref="E272:E274"/>
    <mergeCell ref="F272:F274"/>
    <mergeCell ref="G272:G273"/>
    <mergeCell ref="D281:D283"/>
    <mergeCell ref="E281:E283"/>
    <mergeCell ref="F281:F283"/>
    <mergeCell ref="F297:F299"/>
    <mergeCell ref="D315:D317"/>
    <mergeCell ref="E315:E317"/>
    <mergeCell ref="F315:F317"/>
    <mergeCell ref="D318:D320"/>
    <mergeCell ref="E318:E320"/>
    <mergeCell ref="F318:F320"/>
    <mergeCell ref="D306:D308"/>
    <mergeCell ref="E306:E308"/>
    <mergeCell ref="F306:F308"/>
    <mergeCell ref="D309:D311"/>
    <mergeCell ref="E309:E311"/>
    <mergeCell ref="F309:F311"/>
    <mergeCell ref="D312:D314"/>
    <mergeCell ref="E312:E314"/>
    <mergeCell ref="F312:F314"/>
    <mergeCell ref="F345:F347"/>
    <mergeCell ref="M288:M291"/>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G345:G346"/>
    <mergeCell ref="G291:G292"/>
    <mergeCell ref="G60:G61"/>
    <mergeCell ref="G63:G64"/>
    <mergeCell ref="G66:G67"/>
    <mergeCell ref="G69:G70"/>
    <mergeCell ref="G72:G73"/>
    <mergeCell ref="G75:G76"/>
    <mergeCell ref="G78:G79"/>
    <mergeCell ref="G81:G82"/>
    <mergeCell ref="G87:G88"/>
    <mergeCell ref="G333:G334"/>
    <mergeCell ref="G336:G337"/>
    <mergeCell ref="G339:G340"/>
    <mergeCell ref="G342:G343"/>
    <mergeCell ref="G324:G325"/>
    <mergeCell ref="G327:G328"/>
    <mergeCell ref="G330:G331"/>
    <mergeCell ref="G318:G319"/>
    <mergeCell ref="G275:G276"/>
    <mergeCell ref="G278:G279"/>
    <mergeCell ref="G281:G282"/>
    <mergeCell ref="G284:G285"/>
    <mergeCell ref="G288:G289"/>
    <mergeCell ref="G294:G295"/>
    <mergeCell ref="G297:G298"/>
    <mergeCell ref="G300:G301"/>
    <mergeCell ref="G303:G304"/>
    <mergeCell ref="G306:G307"/>
    <mergeCell ref="G309:G310"/>
    <mergeCell ref="G315:G316"/>
    <mergeCell ref="G312:G313"/>
    <mergeCell ref="G105:G106"/>
    <mergeCell ref="G108:G109"/>
    <mergeCell ref="G114:G120"/>
    <mergeCell ref="G122:G128"/>
    <mergeCell ref="G248:G249"/>
    <mergeCell ref="G254:G255"/>
    <mergeCell ref="G257:G258"/>
    <mergeCell ref="G260:G261"/>
    <mergeCell ref="G217:G218"/>
    <mergeCell ref="G223:G224"/>
    <mergeCell ref="G227:G228"/>
    <mergeCell ref="G230:G231"/>
    <mergeCell ref="G233:G234"/>
    <mergeCell ref="G176:G177"/>
    <mergeCell ref="G179:G180"/>
    <mergeCell ref="G185:G190"/>
    <mergeCell ref="G236:G237"/>
    <mergeCell ref="G239:G240"/>
    <mergeCell ref="G242:G243"/>
    <mergeCell ref="G199:G200"/>
    <mergeCell ref="G202:G203"/>
    <mergeCell ref="G205:G206"/>
    <mergeCell ref="G208:G209"/>
    <mergeCell ref="G173:G174"/>
  </mergeCells>
  <dataValidations count="4">
    <dataValidation type="decimal" allowBlank="1" showErrorMessage="1" errorTitle="Ошибка" error="Допускается ввод только действительных чисел!" sqref="K227 K230 K233 K236 K239 K242 K245 K248 K254 K257 K260 K263 K266 K269 K272 K275 K278 K281 K10 K87 K151 K148 K145 K142 K139 K136 K133 K130 K122:K127 K114:K119 K108 K105 K102 K99 K96 K93 K90 K158 K154 K161 K164 K167 K170 K173 K176 K179 K185:K189 K192:K196 K199 K202 K205 K211 K214 K217 K220 K223 K208 K284 K288 K291 K294 K297 K300 K303 K306 K309 K315 K318 K321 K324 K327 K330 K333 K336 K339 K342 K345 K5 K111 K182 K251 K31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8:M159 M227:M228 M23 M87:M88 M288:M28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7:J227 I230:J230 I233:J233 I236:J236 I239:J239 I242:J242 I245:J245 I248:J248 I254:J254 I257:J257 I260:J260 I263:J263 I266:J266 I269:J269 I272:J272 I275:J275 I278:J278 I8:J8 I81:J81 I154:J154 I90:J90 I93:J93 I96:J96 I99:J99 I102:J102 I105:J105 I108:J108 I114:J119 I122:J127 I130:J130 I133:J133 I136:J136 I139:J139 I142:J142 I145:J145 I148:J148 I151:J151 I158:J158 I87:J87 I161:J161 I164:J164 I167:J167 I170:J170 I173:J173 I176:J176 I179:J179 I185:J189 I192:J196 I199:J199 I202:J202 I205:J205 I211:J211 I214:J214 I217:J217 I220:J220 I223:J223 I208:J208 I281:J281 I284:J284 I288:J288 I291:J291 I294:J294 I297:J297 I300:J300 I303:J303 I306:J306 I309:J309 I315:J315 I318:J318 I321:J321 I324:J324 I327:J327 I330:J330 I333:J333 I336:J336 I339:J339 I342:J342 I345:J345 I2:J2 I5:J5 I48:J48 I111:J111 I182:J182 I251:J251 I312:J312"/>
  </dataValidations>
  <hyperlinks>
    <hyperlink ref="L85" r:id="rId2" tooltip="https://portal.eias.ru/Portal/DownloadPage.aspx?type=12&amp;guid=cc562df2-7f74-41d0-a596-a6322db41453" xr:uid="{FBF0CE97-B4D9-9983-E759-D1089EE8E5A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BFFB3-0438-D57F-CC65-ED8BD61E0D65}"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14073" width="9.140625" hidden="1" customWidth="1"/>
    <col min="2" max="2" style="13221" width="9.140625" hidden="1" customWidth="1"/>
    <col min="3" max="3" style="14074" width="3.00390625" customWidth="1"/>
    <col min="4" max="4" style="13141" width="6.00390625" customWidth="1"/>
    <col min="5" max="5" style="13141" width="53.00390625" customWidth="1"/>
    <col min="6" max="7" style="13141" width="35.00390625" customWidth="1"/>
    <col min="8" max="8" style="13141" width="89.00390625" customWidth="1"/>
    <col min="9" max="9" style="13141" width="10.00390625" customWidth="1"/>
    <col min="10" max="11" style="13311" width="10.00390625" customWidth="1"/>
    <col min="12" max="17" style="13141" width="10.00390625" customWidth="1"/>
    <col min="18" max="18" style="13141" width="10.57421875" hidden="1"/>
  </cols>
  <sheetData>
    <row customHeight="1" ht="22.5" hidden="1">
      <c r="N1" s="482"/>
      <c r="O1" s="482"/>
      <c r="Q1" s="482"/>
      <c r="R1" s="601" t="s">
        <v>14</v>
      </c>
    </row>
    <row s="13141" customFormat="1" customHeight="1" ht="18.75" hidden="1">
      <c r="A2" s="329"/>
      <c r="B2" s="1387"/>
      <c r="C2" s="1957" t="s">
        <v>491</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82"/>
      <c r="F5" s="2682"/>
      <c r="G5" s="2683"/>
      <c r="H5" s="493"/>
      <c r="R5" s="601">
        <v>33</v>
      </c>
    </row>
    <row s="13141" customFormat="1" customHeight="1" ht="18">
      <c r="A6" s="1896"/>
      <c r="B6" s="1387"/>
      <c r="C6" s="603"/>
      <c r="D6" s="2684" t="str">
        <f>IF(org=0,"Не определено",org)</f>
        <v>МУП "Уссурийск-Водоканал"</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88</v>
      </c>
      <c r="E9" s="335" t="s">
        <v>307</v>
      </c>
      <c r="F9" s="335" t="s">
        <v>308</v>
      </c>
      <c r="G9" s="335" t="s">
        <v>395</v>
      </c>
      <c r="H9" s="2616"/>
      <c r="R9" s="601">
        <v>23</v>
      </c>
    </row>
    <row customHeight="1" ht="155.25">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84" t="s">
        <v>1164</v>
      </c>
      <c r="G10" s="440" t="s">
        <v>1165</v>
      </c>
      <c r="H10" s="2396" t="s">
        <v>1166</v>
      </c>
      <c r="R10" s="601">
        <v>14</v>
      </c>
    </row>
    <row customHeight="1" ht="51.75">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84" t="s">
        <v>1167</v>
      </c>
      <c r="G11" s="440" t="s">
        <v>1168</v>
      </c>
      <c r="H11" s="2397"/>
      <c r="R11" s="601">
        <v>14</v>
      </c>
    </row>
    <row customHeight="1" ht="51">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1169</v>
      </c>
      <c r="G12" s="8912" t="s">
        <v>1170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30.7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1171</v>
      </c>
      <c r="G13" s="440" t="s">
        <v>1172</v>
      </c>
      <c r="H13" s="2397"/>
      <c r="I13" s="577"/>
      <c r="K13" s="601"/>
      <c r="R13" s="601">
        <v>14</v>
      </c>
    </row>
    <row customHeight="1" ht="14.699999999999998">
      <c r="A14" s="570"/>
      <c r="C14" s="603"/>
      <c r="D14" s="574"/>
      <c r="E14" s="622" t="s">
        <v>327</v>
      </c>
      <c r="F14" s="576"/>
      <c r="G14" s="428"/>
      <c r="H14" s="2398"/>
      <c r="R14" s="601">
        <v>14</v>
      </c>
    </row>
    <row s="13141"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ada54c8f-d2b9-4a18-865d-bdcf7a13cef3" xr:uid="{756423A7-0307-ABE2-3975-5EFD078051F5}"/>
    <hyperlink ref="G11" r:id="rId3" tooltip="https://zakupki.gov.ru/223/clause/public/order-clause/info/documents.html?clauseId=2026&amp;clauseInfoId=590978&amp;versioned=&amp;activeTab=1&amp;epz=true" xr:uid="{18B4EE77-FC7E-1D83-1EA5-E1DC7B30B64C}"/>
    <hyperlink ref="G12" r:id="rId4" xr:uid="{3F6FF1E6-C50B-C586-0EC3-E553124789FD}"/>
    <hyperlink ref="G13" r:id="rId5" tooltip="https://zakupki.gov.ru/epz/main/public/home.html" xr:uid="{5DD4178A-676E-1668-6985-72960CA3361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37FC6-DCFE-71A4-5748-B802EB4509F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105" width="9.140625" hidden="1" customWidth="1"/>
    <col min="2" max="2" style="13141" width="9.140625" hidden="1" customWidth="1"/>
    <col min="3" max="3" style="15543" width="4.00390625" customWidth="1"/>
    <col min="4" max="4" style="13141" width="6.00390625" customWidth="1"/>
    <col min="5" max="5" style="13141" width="47.00390625" customWidth="1"/>
    <col min="6" max="6" style="13141" width="9.00390625" customWidth="1"/>
    <col min="7" max="7" style="13141" width="25.7109375" hidden="1" customWidth="1"/>
    <col min="8" max="8" style="13141" width="34.00390625" hidden="1" customWidth="1"/>
    <col min="9" max="9" style="13141" width="25.7109375" customWidth="1"/>
    <col min="10" max="10" style="13141" width="33.00390625" customWidth="1"/>
    <col min="11" max="11" style="13221" width="50.00390625" customWidth="1"/>
    <col min="12" max="20" style="13141" width="10.00390625" customWidth="1"/>
    <col min="21" max="21" style="15544" width="10.00390625" customWidth="1"/>
    <col min="22" max="22" style="13141" width="10.57421875" hidden="1"/>
  </cols>
  <sheetData>
    <row s="13221" customFormat="1" customHeight="1" ht="22.5" hidden="1">
      <c r="C1" s="899"/>
      <c r="G1" s="644">
        <v>4</v>
      </c>
      <c r="I1" s="644">
        <v>4</v>
      </c>
      <c r="U1" s="647"/>
      <c r="V1" s="644" t="s">
        <v>14</v>
      </c>
    </row>
    <row s="13141" customFormat="1" customHeight="1" ht="15" hidden="1">
      <c r="A2" s="589"/>
      <c r="C2" s="403"/>
      <c r="D2" s="573"/>
      <c r="E2" s="900"/>
      <c r="F2" s="749"/>
      <c r="G2" s="843"/>
      <c r="H2" s="843"/>
      <c r="I2" s="843"/>
      <c r="J2" s="843"/>
      <c r="U2" s="901"/>
      <c r="V2" s="736">
        <v>0</v>
      </c>
    </row>
    <row s="13221" customFormat="1" customHeight="1" ht="15" hidden="1">
      <c r="C3" s="899"/>
      <c r="U3" s="647"/>
      <c r="V3" s="644">
        <v>0</v>
      </c>
    </row>
    <row customHeight="1" ht="15.75">
      <c r="C4" s="403"/>
      <c r="D4" s="736"/>
      <c r="E4" s="736"/>
      <c r="F4" s="736"/>
      <c r="G4" s="736"/>
      <c r="H4" s="736"/>
      <c r="I4" s="736"/>
      <c r="J4" s="736"/>
      <c r="V4" s="732">
        <v>15</v>
      </c>
    </row>
    <row customHeight="1" ht="66">
      <c r="C5" s="403"/>
      <c r="D5" s="2464" t="s">
        <v>1173</v>
      </c>
      <c r="E5" s="2464"/>
      <c r="F5" s="2464"/>
      <c r="G5" s="2464"/>
      <c r="H5" s="2464"/>
      <c r="I5" s="2464"/>
      <c r="J5" s="2464"/>
      <c r="V5" s="732">
        <v>63</v>
      </c>
    </row>
    <row customHeight="1" ht="15.75">
      <c r="C6" s="403"/>
      <c r="D6" s="2403" t="str">
        <f>IF(org=0,"Не определено",org)</f>
        <v>МУП "Уссурийск-Водоканал"</v>
      </c>
      <c r="E6" s="2403"/>
      <c r="F6" s="2403"/>
      <c r="G6" s="2403"/>
      <c r="H6" s="2403"/>
      <c r="I6" s="2403"/>
      <c r="J6" s="2403"/>
      <c r="K6" s="764"/>
      <c r="V6" s="732">
        <v>15</v>
      </c>
    </row>
    <row customHeight="1" ht="15.75">
      <c r="C7" s="403"/>
      <c r="D7" s="979"/>
      <c r="E7" s="736"/>
      <c r="F7" s="736"/>
      <c r="G7" s="764">
        <v>22</v>
      </c>
      <c r="I7" s="764">
        <v>1</v>
      </c>
      <c r="J7" s="979"/>
      <c r="V7" s="732">
        <v>15</v>
      </c>
    </row>
    <row s="13141"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f>IF(I8="","",INDEX(DIFFERENTIATION_UNMERGE_VD,MATCH(I8,DIFFERENTIATION_ID_DIFF,0)))</f>
        <v>0</v>
      </c>
      <c r="J9" s="2623"/>
      <c r="K9" s="2402" t="s">
        <v>306</v>
      </c>
      <c r="V9" s="732">
        <v>15</v>
      </c>
    </row>
    <row s="13141" customFormat="1" customHeight="1" ht="15.75">
      <c r="A10" s="986"/>
      <c r="C10" s="403"/>
      <c r="D10" s="938"/>
      <c r="E10" s="2594" t="s">
        <v>573</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3141" customFormat="1" customHeight="1" ht="15.75">
      <c r="A11" s="986"/>
      <c r="C11" s="403"/>
      <c r="D11" s="938"/>
      <c r="E11" s="2594" t="s">
        <v>574</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3141" customFormat="1" customHeight="1" ht="15.75">
      <c r="A12" s="986"/>
      <c r="C12" s="403"/>
      <c r="D12" s="2596" t="s">
        <v>305</v>
      </c>
      <c r="E12" s="2597"/>
      <c r="F12" s="2597"/>
      <c r="G12" s="1114"/>
      <c r="H12" s="1114"/>
      <c r="I12" s="1114"/>
      <c r="J12" s="1114"/>
      <c r="K12" s="2426"/>
      <c r="U12" s="902"/>
      <c r="V12" s="985">
        <v>15</v>
      </c>
    </row>
    <row customHeight="1" ht="35.699999999999996">
      <c r="C13" s="403"/>
      <c r="D13" s="1032" t="s">
        <v>88</v>
      </c>
      <c r="E13" s="1034" t="s">
        <v>307</v>
      </c>
      <c r="F13" s="1034" t="s">
        <v>575</v>
      </c>
      <c r="G13" s="1035" t="s">
        <v>308</v>
      </c>
      <c r="H13" s="1034" t="s">
        <v>395</v>
      </c>
      <c r="I13" s="1035" t="s">
        <v>308</v>
      </c>
      <c r="J13" s="1034" t="s">
        <v>395</v>
      </c>
      <c r="K13" s="2459"/>
      <c r="V13" s="732">
        <v>34</v>
      </c>
    </row>
    <row customHeight="1" ht="15" hidden="1">
      <c r="C14" s="403"/>
      <c r="D14" s="820" t="s">
        <v>109</v>
      </c>
      <c r="E14" s="820" t="s">
        <v>110</v>
      </c>
      <c r="F14" s="820" t="s">
        <v>90</v>
      </c>
      <c r="G14" s="886" t="str">
        <f>G1&amp;".1"</f>
        <v>4.1</v>
      </c>
      <c r="H14" s="886"/>
      <c r="I14" s="886" t="str">
        <f>I1&amp;".1"</f>
        <v>4.1</v>
      </c>
      <c r="J14" s="886"/>
      <c r="K14" s="516"/>
      <c r="V14" s="732">
        <v>0</v>
      </c>
    </row>
    <row customHeight="1" ht="22.5" hidden="1">
      <c r="A15" s="732"/>
      <c r="C15" s="753"/>
      <c r="D15" s="748">
        <v>1</v>
      </c>
      <c r="E15" s="904" t="s">
        <v>817</v>
      </c>
      <c r="F15" s="748" t="s">
        <v>818</v>
      </c>
      <c r="G15" s="905"/>
      <c r="H15" s="905"/>
      <c r="I15" s="905"/>
      <c r="J15" s="905"/>
      <c r="K15" s="516" t="s">
        <v>819</v>
      </c>
      <c r="V15" s="732">
        <v>0</v>
      </c>
    </row>
    <row customHeight="1" ht="22.5" hidden="1">
      <c r="A16" s="732"/>
      <c r="C16" s="753"/>
      <c r="D16" s="748">
        <v>2</v>
      </c>
      <c r="E16" s="506" t="s">
        <v>820</v>
      </c>
      <c r="F16" s="748" t="s">
        <v>821</v>
      </c>
      <c r="G16" s="905"/>
      <c r="H16" s="905"/>
      <c r="I16" s="905"/>
      <c r="J16" s="905"/>
      <c r="K16" s="516" t="s">
        <v>822</v>
      </c>
      <c r="V16" s="732">
        <v>0</v>
      </c>
    </row>
    <row customHeight="1" ht="123.75" hidden="1">
      <c r="A17" s="732"/>
      <c r="C17" s="753"/>
      <c r="D17" s="748">
        <v>3</v>
      </c>
      <c r="E17" s="506" t="s">
        <v>1174</v>
      </c>
      <c r="F17" s="748" t="s">
        <v>311</v>
      </c>
      <c r="G17" s="905"/>
      <c r="H17" s="905"/>
      <c r="I17" s="905"/>
      <c r="J17" s="905"/>
      <c r="K17" s="516" t="s">
        <v>1175</v>
      </c>
      <c r="V17" s="732">
        <v>0</v>
      </c>
    </row>
    <row customHeight="1" ht="48.29999999999999">
      <c r="A18" s="732"/>
      <c r="C18" s="753"/>
      <c r="D18" s="748">
        <v>3</v>
      </c>
      <c r="E18" s="506" t="s">
        <v>823</v>
      </c>
      <c r="F18" s="748" t="s">
        <v>311</v>
      </c>
      <c r="G18" s="1036" t="s">
        <v>311</v>
      </c>
      <c r="H18" s="1037" t="s">
        <v>311</v>
      </c>
      <c r="I18" s="748" t="s">
        <v>311</v>
      </c>
      <c r="J18" s="805" t="s">
        <v>311</v>
      </c>
      <c r="K18" s="516" t="s">
        <v>1176</v>
      </c>
      <c r="V18" s="732">
        <v>46</v>
      </c>
    </row>
    <row customHeight="1" ht="35.699999999999996">
      <c r="A19" s="732"/>
      <c r="C19" s="753"/>
      <c r="D19" s="766" t="s">
        <v>329</v>
      </c>
      <c r="E19" s="786" t="s">
        <v>825</v>
      </c>
      <c r="F19" s="748" t="s">
        <v>826</v>
      </c>
      <c r="G19" s="1044"/>
      <c r="H19" s="333"/>
      <c r="I19" s="1044"/>
      <c r="J19" s="1045"/>
      <c r="K19" s="906"/>
      <c r="V19" s="732">
        <v>34</v>
      </c>
    </row>
    <row customHeight="1" ht="35.699999999999996">
      <c r="A20" s="732"/>
      <c r="C20" s="753"/>
      <c r="D20" s="2117" t="s">
        <v>337</v>
      </c>
      <c r="E20" s="786" t="s">
        <v>827</v>
      </c>
      <c r="F20" s="748" t="s">
        <v>828</v>
      </c>
      <c r="G20" s="1044"/>
      <c r="H20" s="333"/>
      <c r="I20" s="1044"/>
      <c r="J20" s="333"/>
      <c r="K20" s="906"/>
      <c r="V20" s="732">
        <v>34</v>
      </c>
    </row>
    <row customHeight="1" ht="48.29999999999999">
      <c r="A21" s="732"/>
      <c r="C21" s="753"/>
      <c r="D21" s="2117" t="s">
        <v>339</v>
      </c>
      <c r="E21" s="786" t="s">
        <v>829</v>
      </c>
      <c r="F21" s="748" t="s">
        <v>580</v>
      </c>
      <c r="G21" s="907"/>
      <c r="H21" s="333"/>
      <c r="I21" s="907"/>
      <c r="J21" s="333"/>
      <c r="K21" s="906"/>
      <c r="V21" s="732">
        <v>46</v>
      </c>
    </row>
    <row customHeight="1" ht="67.5" hidden="1">
      <c r="A22" s="732"/>
      <c r="C22" s="753"/>
      <c r="D22" s="748">
        <v>5</v>
      </c>
      <c r="E22" s="506" t="s">
        <v>1177</v>
      </c>
      <c r="F22" s="748" t="s">
        <v>567</v>
      </c>
      <c r="G22" s="908"/>
      <c r="H22" s="909"/>
      <c r="I22" s="908"/>
      <c r="J22" s="909"/>
      <c r="K22" s="516" t="s">
        <v>1178</v>
      </c>
      <c r="V22" s="732">
        <v>0</v>
      </c>
    </row>
    <row customHeight="1" ht="33.75" hidden="1">
      <c r="C23" s="678"/>
      <c r="D23" s="748">
        <v>6</v>
      </c>
      <c r="E23" s="506" t="s">
        <v>1179</v>
      </c>
      <c r="F23" s="748" t="s">
        <v>1180</v>
      </c>
      <c r="G23" s="908"/>
      <c r="H23" s="908"/>
      <c r="I23" s="908"/>
      <c r="J23" s="908"/>
      <c r="K23" s="516" t="s">
        <v>1181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001541-31B3-FD93-0D3D-A768C85A49B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978" width="32.57421875" customWidth="1"/>
    <col min="2" max="2" style="13282" width="11.00390625" customWidth="1"/>
    <col min="3" max="3" style="13282" width="9.140625"/>
    <col min="4" max="4" style="13282" width="26.57421875" customWidth="1"/>
    <col min="5" max="5" style="15802" width="36.8515625" customWidth="1"/>
    <col min="6" max="6" style="15802" width="23.57421875" customWidth="1"/>
    <col min="7" max="7" style="15802" width="31.421875" customWidth="1"/>
    <col min="8" max="8" style="15802" width="40.8515625" customWidth="1"/>
    <col min="9" max="9" style="15802" width="14.57421875" customWidth="1"/>
    <col min="10" max="10" style="15802" width="26.8515625" customWidth="1"/>
    <col min="11" max="11" style="15802" width="50.00390625" customWidth="1"/>
    <col min="12" max="12" style="15802" width="52.421875" customWidth="1"/>
    <col min="13" max="13" style="15802" width="10.7109375" customWidth="1"/>
    <col min="14" max="14" style="15802" width="55.140625" customWidth="1"/>
    <col min="15" max="15" style="15802" width="31.8515625" customWidth="1"/>
    <col min="16" max="16" style="15802" width="23.8515625" customWidth="1"/>
    <col min="17" max="17" style="15802" width="46.57421875" customWidth="1"/>
    <col min="18" max="18" style="15802" width="24.00390625" customWidth="1"/>
    <col min="19" max="19" style="15802" width="20.57421875" customWidth="1"/>
    <col min="20" max="20" style="15802" width="22.00390625" customWidth="1"/>
    <col min="21" max="22" style="15802" width="26.421875" customWidth="1"/>
    <col min="23" max="23" style="15802" width="8.28125" hidden="1" customWidth="1"/>
    <col min="24" max="24" style="15802" width="59.7109375" customWidth="1"/>
    <col min="25" max="25" style="15802" width="49.140625" customWidth="1"/>
    <col min="26" max="26" style="15802" width="11.140625" customWidth="1"/>
    <col min="27" max="30" style="15802" width="29.00390625" customWidth="1"/>
    <col min="31" max="31" style="15802" width="9.140625"/>
    <col min="32" max="32" style="15802" width="34.7109375" customWidth="1"/>
    <col min="33" max="33" style="15802" width="9.140625"/>
    <col min="34" max="35" style="15802" width="34.421875" customWidth="1"/>
    <col min="36" max="36" style="15802" width="9.140625"/>
    <col min="37" max="37" style="15802" width="24.57421875" customWidth="1"/>
    <col min="38" max="38" style="15802" width="9.140625"/>
    <col min="39" max="39" style="15802" width="26.140625" customWidth="1"/>
    <col min="40" max="40" style="15802" width="1.7109375" customWidth="1"/>
    <col min="41" max="41" style="15802" width="9.140625"/>
    <col min="42" max="43" style="15802" width="47.8515625" customWidth="1"/>
    <col min="44" max="44" style="15802" width="1.7109375" customWidth="1"/>
    <col min="45" max="45" style="15802" width="21.421875" customWidth="1"/>
    <col min="46" max="46" style="15802" width="1.7109375" customWidth="1"/>
    <col min="47" max="47" style="15802" width="31.28125" customWidth="1"/>
    <col min="48" max="48" style="15802" width="1.7109375" customWidth="1"/>
    <col min="49" max="50" style="15802" width="9.140625"/>
    <col min="51" max="51" style="15802" width="3.7109375" customWidth="1"/>
    <col min="52" max="52" style="15802" width="60.8515625" customWidth="1"/>
    <col min="53" max="53" style="15802" width="49.28125" customWidth="1"/>
    <col min="54" max="54" style="15802" width="35.140625" customWidth="1"/>
    <col min="55" max="55" style="15802" width="9.140625"/>
    <col min="56" max="56" style="15802" width="1.7109375" customWidth="1"/>
    <col min="57" max="57" style="15979" width="12.57421875" customWidth="1"/>
    <col min="58" max="58" style="15979" width="14.28125" customWidth="1"/>
    <col min="59" max="59" style="15802" width="30.7109375" customWidth="1"/>
    <col min="60" max="60" style="15980" width="40.7109375" customWidth="1"/>
    <col min="61" max="61" style="15980" width="15.00390625" customWidth="1"/>
    <col min="62" max="62" style="15980" width="40.7109375" customWidth="1"/>
    <col min="63" max="63" style="15980" width="2.7109375" customWidth="1"/>
    <col min="64" max="64" style="15980" width="44.7109375" customWidth="1"/>
    <col min="65" max="65" style="15980" width="2.7109375" customWidth="1"/>
    <col min="66" max="66" style="15980" width="40.7109375" customWidth="1"/>
    <col min="67" max="68" style="15802" width="9.140625"/>
    <col min="69" max="69" style="15802" width="18.140625" customWidth="1"/>
    <col min="70" max="70" style="15802" width="57.8515625" customWidth="1"/>
    <col min="71" max="71" style="15802" width="1.7109375" customWidth="1"/>
    <col min="72" max="72" style="15802" width="22.57421875" customWidth="1"/>
    <col min="73" max="73" style="15802" width="57.8515625" customWidth="1"/>
    <col min="74" max="74" style="15802" width="1.7109375" customWidth="1"/>
    <col min="75" max="75" style="15802" width="22.57421875" customWidth="1"/>
    <col min="76" max="76" style="15802" width="57.8515625" customWidth="1"/>
    <col min="77" max="77" style="15802" width="1.7109375" customWidth="1"/>
    <col min="78" max="78" style="15802" width="22.57421875" customWidth="1"/>
    <col min="79" max="79" style="15802" width="57.8515625" customWidth="1"/>
    <col min="80" max="81" style="15802" width="9.140625"/>
    <col min="82" max="82" style="15802" width="49.57421875" customWidth="1"/>
  </cols>
  <sheetData>
    <row s="15881" customFormat="1" customHeight="1" ht="11.25">
      <c r="A1" s="1294" t="s">
        <v>1182</v>
      </c>
      <c r="B1" s="1294" t="s">
        <v>1183</v>
      </c>
      <c r="C1" s="1294" t="s">
        <v>1184</v>
      </c>
      <c r="D1" s="1294" t="s">
        <v>1185</v>
      </c>
      <c r="E1" s="1294" t="s">
        <v>1186</v>
      </c>
      <c r="F1" s="1294" t="s">
        <v>1187</v>
      </c>
      <c r="G1" s="1294" t="s">
        <v>1188</v>
      </c>
      <c r="H1" s="1294" t="s">
        <v>1189</v>
      </c>
      <c r="I1" s="1294" t="s">
        <v>1190</v>
      </c>
      <c r="J1" s="1294" t="s">
        <v>1191</v>
      </c>
      <c r="K1" s="1294" t="s">
        <v>1192</v>
      </c>
      <c r="L1" s="1294" t="s">
        <v>1193</v>
      </c>
      <c r="M1" s="1294"/>
      <c r="N1" s="1294" t="s">
        <v>1194</v>
      </c>
      <c r="O1" s="1294" t="s">
        <v>1195</v>
      </c>
      <c r="P1" s="1294" t="s">
        <v>1196</v>
      </c>
      <c r="Q1" s="1294" t="s">
        <v>1197</v>
      </c>
      <c r="R1" s="1294" t="s">
        <v>1198</v>
      </c>
      <c r="S1" s="1294" t="s">
        <v>1199</v>
      </c>
      <c r="T1" s="1294" t="s">
        <v>1200</v>
      </c>
      <c r="U1" s="1294" t="s">
        <v>1201</v>
      </c>
      <c r="V1" s="1294"/>
      <c r="W1" s="1024" t="s">
        <v>1202</v>
      </c>
      <c r="X1" s="1294" t="s">
        <v>1203</v>
      </c>
      <c r="Y1" s="1294" t="s">
        <v>1204</v>
      </c>
      <c r="Z1" s="1294"/>
      <c r="AA1" s="1294" t="s">
        <v>1205</v>
      </c>
      <c r="AB1" s="1294"/>
      <c r="AC1" s="1294" t="s">
        <v>1206</v>
      </c>
      <c r="AD1" s="1294"/>
      <c r="AF1" s="1294" t="s">
        <v>1207</v>
      </c>
      <c r="AH1" s="1294" t="s">
        <v>1208</v>
      </c>
      <c r="AI1" s="1294" t="s">
        <v>1209</v>
      </c>
      <c r="AK1" s="1294" t="s">
        <v>1210</v>
      </c>
      <c r="AM1" s="1294" t="s">
        <v>1211</v>
      </c>
      <c r="AP1" s="1294" t="s">
        <v>1212</v>
      </c>
      <c r="AQ1" s="1294" t="s">
        <v>1213</v>
      </c>
      <c r="AS1" s="1294" t="s">
        <v>1214</v>
      </c>
      <c r="AU1" s="1294" t="s">
        <v>1215</v>
      </c>
      <c r="AW1" s="1294" t="s">
        <v>1216</v>
      </c>
      <c r="AX1" s="1294" t="s">
        <v>1217</v>
      </c>
      <c r="AZ1" s="1379" t="s">
        <v>1218</v>
      </c>
      <c r="BB1" s="1294" t="s">
        <v>1219</v>
      </c>
      <c r="BC1" s="1294"/>
      <c r="BE1" s="1294" t="s">
        <v>1220</v>
      </c>
      <c r="BF1" s="1294" t="s">
        <v>1221</v>
      </c>
      <c r="BH1" s="1296" t="s">
        <v>816</v>
      </c>
      <c r="BI1" s="1297"/>
      <c r="BJ1" s="1298" t="s">
        <v>1222</v>
      </c>
      <c r="BK1" s="1297"/>
      <c r="BL1" s="1299" t="s">
        <v>915</v>
      </c>
      <c r="BM1" s="1297"/>
      <c r="BN1" s="1300" t="s">
        <v>1223</v>
      </c>
      <c r="BS1" s="1654"/>
    </row>
    <row customHeight="1" ht="11.25">
      <c r="A2" s="1301" t="s">
        <v>1224</v>
      </c>
      <c r="B2" s="1302">
        <v>2000</v>
      </c>
      <c r="C2" s="1302">
        <v>2022</v>
      </c>
      <c r="D2" s="1302" t="s">
        <v>66</v>
      </c>
      <c r="E2" s="1303" t="s">
        <v>1225</v>
      </c>
      <c r="F2" s="1303" t="s">
        <v>1226</v>
      </c>
      <c r="G2" s="1303" t="s">
        <v>1227</v>
      </c>
      <c r="H2" s="1304" t="s">
        <v>55</v>
      </c>
      <c r="I2" s="1303" t="s">
        <v>109</v>
      </c>
      <c r="J2" s="1303" t="s">
        <v>1228</v>
      </c>
      <c r="K2" s="1305" t="s">
        <v>1229</v>
      </c>
      <c r="L2" s="1306"/>
      <c r="M2" s="1305">
        <v>1</v>
      </c>
      <c r="N2" s="1389" t="s">
        <v>1230</v>
      </c>
      <c r="O2" s="1304" t="s">
        <v>1231</v>
      </c>
      <c r="P2" s="1307" t="s">
        <v>1232</v>
      </c>
      <c r="Q2" s="1308" t="s">
        <v>505</v>
      </c>
      <c r="R2" s="370" t="s">
        <v>1233</v>
      </c>
      <c r="S2" s="370" t="s">
        <v>1234</v>
      </c>
      <c r="T2" s="1309" t="s">
        <v>1235</v>
      </c>
      <c r="U2" s="1306" t="s">
        <v>1236</v>
      </c>
      <c r="V2" s="1310">
        <v>1</v>
      </c>
      <c r="W2" s="1311"/>
      <c r="X2" s="1311" t="s">
        <v>1237</v>
      </c>
      <c r="Y2" s="1302" t="s">
        <v>1238</v>
      </c>
      <c r="Z2" s="1312"/>
      <c r="AA2" s="1302" t="s">
        <v>1239</v>
      </c>
      <c r="AB2" s="1313" t="s">
        <v>1239</v>
      </c>
      <c r="AC2" s="1302" t="s">
        <v>1240</v>
      </c>
      <c r="AD2" s="1313" t="s">
        <v>1240</v>
      </c>
      <c r="AF2" s="1304" t="s">
        <v>1236</v>
      </c>
      <c r="AH2" s="1303" t="s">
        <v>1241</v>
      </c>
      <c r="AI2" s="1303" t="s">
        <v>1241</v>
      </c>
      <c r="AK2" s="1303" t="s">
        <v>1242</v>
      </c>
      <c r="AM2" s="1303" t="s">
        <v>1243</v>
      </c>
      <c r="AP2" s="1314" t="s">
        <v>1237</v>
      </c>
      <c r="AQ2" s="1315" t="s">
        <v>1237</v>
      </c>
      <c r="AS2" s="1302" t="s">
        <v>1244</v>
      </c>
      <c r="AU2" s="1347" t="s">
        <v>1245</v>
      </c>
      <c r="AW2" s="1347" t="s">
        <v>1246</v>
      </c>
      <c r="AX2" s="1347" t="s">
        <v>1246</v>
      </c>
      <c r="AZ2" s="1347" t="s">
        <v>1247</v>
      </c>
      <c r="BB2" s="1347" t="s">
        <v>1248</v>
      </c>
      <c r="BC2" s="1347" t="s">
        <v>1249</v>
      </c>
      <c r="BE2" s="1347">
        <v>2000</v>
      </c>
      <c r="BF2" s="1347" t="s">
        <v>1250</v>
      </c>
    </row>
    <row customHeight="1" ht="11.25">
      <c r="A3" s="1301" t="s">
        <v>1251</v>
      </c>
      <c r="B3" s="1302">
        <v>2001</v>
      </c>
      <c r="C3" s="1302">
        <v>2023</v>
      </c>
      <c r="D3" s="1302" t="s">
        <v>19</v>
      </c>
      <c r="E3" s="1303" t="s">
        <v>1252</v>
      </c>
      <c r="F3" s="1303" t="s">
        <v>1253</v>
      </c>
      <c r="G3" s="1303" t="s">
        <v>1254</v>
      </c>
      <c r="H3" s="1304" t="s">
        <v>1255</v>
      </c>
      <c r="I3" s="1303" t="s">
        <v>110</v>
      </c>
      <c r="J3" s="1303" t="s">
        <v>565</v>
      </c>
      <c r="K3" s="1305" t="s">
        <v>1159</v>
      </c>
      <c r="L3" s="1306">
        <f>_xlfn.IFERROR(MATCH(K3,OFFER_METHOD,0),0)</f>
        <v>28</v>
      </c>
      <c r="M3" s="1305">
        <v>2</v>
      </c>
      <c r="N3" s="1389" t="s">
        <v>1256</v>
      </c>
      <c r="O3" s="1304" t="s">
        <v>1257</v>
      </c>
      <c r="P3" s="1307" t="s">
        <v>37</v>
      </c>
      <c r="Q3" s="1308" t="s">
        <v>1258</v>
      </c>
      <c r="R3" s="370" t="s">
        <v>1259</v>
      </c>
      <c r="S3" s="370" t="s">
        <v>1260</v>
      </c>
      <c r="T3" s="1309" t="s">
        <v>1261</v>
      </c>
      <c r="U3" s="1306" t="s">
        <v>1262</v>
      </c>
      <c r="V3" s="1310">
        <v>2</v>
      </c>
      <c r="W3" s="1311"/>
      <c r="X3" s="1311" t="s">
        <v>1263</v>
      </c>
      <c r="Y3" s="1302" t="s">
        <v>1238</v>
      </c>
      <c r="Z3" s="1312"/>
      <c r="AA3" s="1302" t="s">
        <v>1264</v>
      </c>
      <c r="AB3" s="1313" t="s">
        <v>1264</v>
      </c>
      <c r="AC3" s="1302" t="s">
        <v>1265</v>
      </c>
      <c r="AD3" s="1313" t="s">
        <v>1265</v>
      </c>
      <c r="AF3" s="1304" t="s">
        <v>1262</v>
      </c>
      <c r="AH3" s="1303" t="s">
        <v>1266</v>
      </c>
      <c r="AI3" s="1303" t="s">
        <v>1267</v>
      </c>
      <c r="AK3" s="1303" t="s">
        <v>1268</v>
      </c>
      <c r="AM3" s="1303" t="s">
        <v>1269</v>
      </c>
      <c r="AP3" s="1314" t="s">
        <v>1270</v>
      </c>
      <c r="AQ3" s="1315" t="s">
        <v>1270</v>
      </c>
      <c r="AS3" s="1302" t="s">
        <v>1271</v>
      </c>
      <c r="AU3" s="1347" t="s">
        <v>1272</v>
      </c>
      <c r="AW3" s="1347" t="s">
        <v>1273</v>
      </c>
      <c r="AX3" s="1347" t="s">
        <v>1273</v>
      </c>
      <c r="AZ3" s="1347" t="s">
        <v>1274</v>
      </c>
      <c r="BB3" s="1347" t="s">
        <v>1275</v>
      </c>
      <c r="BC3" s="1347" t="s">
        <v>1249</v>
      </c>
      <c r="BE3" s="1347">
        <v>2001</v>
      </c>
      <c r="BF3" s="1347" t="s">
        <v>1276</v>
      </c>
      <c r="BH3" s="1294" t="s">
        <v>1277</v>
      </c>
      <c r="BJ3" s="1294" t="s">
        <v>1278</v>
      </c>
      <c r="BL3" s="1294" t="s">
        <v>1279</v>
      </c>
      <c r="BN3" s="1294" t="s">
        <v>1280</v>
      </c>
      <c r="BR3" s="1294" t="s">
        <v>1281</v>
      </c>
      <c r="BS3" s="1655"/>
      <c r="BT3" s="1297"/>
      <c r="BU3" s="1294" t="s">
        <v>1282</v>
      </c>
      <c r="BV3" s="1297"/>
      <c r="BW3" s="1917"/>
      <c r="BX3" s="1919" t="s">
        <v>1283</v>
      </c>
      <c r="CA3" s="1294" t="s">
        <v>1284</v>
      </c>
    </row>
    <row customHeight="1" ht="11.25">
      <c r="A4" s="1301" t="s">
        <v>1285</v>
      </c>
      <c r="B4" s="1302">
        <v>2002</v>
      </c>
      <c r="C4" s="1302">
        <v>2024</v>
      </c>
      <c r="E4" s="1303" t="s">
        <v>1286</v>
      </c>
      <c r="F4" s="1303" t="s">
        <v>1287</v>
      </c>
      <c r="H4" s="1304" t="s">
        <v>1288</v>
      </c>
      <c r="I4" s="1303" t="s">
        <v>90</v>
      </c>
      <c r="J4" s="1303" t="s">
        <v>1289</v>
      </c>
      <c r="K4" s="1305" t="s">
        <v>1290</v>
      </c>
      <c r="L4" s="1306">
        <f>_xlfn.IFERROR(MATCH(K4,OFFER_METHOD,0),0)</f>
        <v>0</v>
      </c>
      <c r="M4" s="1305">
        <v>3</v>
      </c>
      <c r="N4" s="1389" t="s">
        <v>1291</v>
      </c>
      <c r="O4" s="1303" t="s">
        <v>1292</v>
      </c>
      <c r="Q4" s="1308" t="s">
        <v>1293</v>
      </c>
      <c r="R4" s="370" t="s">
        <v>1294</v>
      </c>
      <c r="S4" s="370" t="s">
        <v>1295</v>
      </c>
      <c r="T4" s="1309" t="s">
        <v>1296</v>
      </c>
      <c r="U4" s="1306" t="s">
        <v>1297</v>
      </c>
      <c r="V4" s="1310">
        <v>3</v>
      </c>
      <c r="W4" s="1311"/>
      <c r="X4" s="1311" t="s">
        <v>1298</v>
      </c>
      <c r="Y4" s="1302" t="s">
        <v>1238</v>
      </c>
      <c r="Z4" s="1318"/>
      <c r="AC4" s="1302" t="s">
        <v>1299</v>
      </c>
      <c r="AD4" s="1313" t="s">
        <v>1299</v>
      </c>
      <c r="AF4" s="1304" t="s">
        <v>1297</v>
      </c>
      <c r="AH4" s="1304" t="s">
        <v>1300</v>
      </c>
      <c r="AK4" s="1303" t="s">
        <v>1301</v>
      </c>
      <c r="AM4" s="1303" t="s">
        <v>1302</v>
      </c>
      <c r="AP4" s="1314" t="s">
        <v>1263</v>
      </c>
      <c r="AQ4" s="1315" t="s">
        <v>1263</v>
      </c>
      <c r="AS4" s="1302" t="s">
        <v>1303</v>
      </c>
      <c r="AU4" s="1347" t="s">
        <v>1304</v>
      </c>
      <c r="AW4" s="1347" t="s">
        <v>1305</v>
      </c>
      <c r="AX4" s="1347" t="s">
        <v>1305</v>
      </c>
      <c r="AZ4" s="1347" t="s">
        <v>1306</v>
      </c>
      <c r="BB4" s="1347" t="s">
        <v>1307</v>
      </c>
      <c r="BC4" s="1347" t="s">
        <v>1308</v>
      </c>
      <c r="BE4" s="1347">
        <v>2002</v>
      </c>
      <c r="BF4" s="1347" t="s">
        <v>1309</v>
      </c>
      <c r="BH4" s="1295" t="s">
        <v>1310</v>
      </c>
      <c r="BJ4" s="1295" t="s">
        <v>1310</v>
      </c>
      <c r="BL4" s="1295" t="s">
        <v>1310</v>
      </c>
      <c r="BN4" s="1295" t="s">
        <v>1310</v>
      </c>
      <c r="BQ4" s="1659" t="s">
        <v>1311</v>
      </c>
      <c r="BR4" s="1386" t="s">
        <v>1312</v>
      </c>
      <c r="BS4" s="501"/>
      <c r="BT4" s="1659" t="s">
        <v>1313</v>
      </c>
      <c r="BU4" s="1386" t="s">
        <v>1314</v>
      </c>
      <c r="BV4" s="1297"/>
      <c r="BW4" s="1924" t="s">
        <v>1315</v>
      </c>
      <c r="BX4" s="1918" t="s">
        <v>1316</v>
      </c>
      <c r="BZ4" s="1659" t="s">
        <v>1317</v>
      </c>
      <c r="CA4" s="1386" t="s">
        <v>1318</v>
      </c>
    </row>
    <row customHeight="1" ht="11.25">
      <c r="A5" s="1301" t="s">
        <v>1319</v>
      </c>
      <c r="B5" s="1302">
        <v>2003</v>
      </c>
      <c r="C5" s="1302">
        <v>2025</v>
      </c>
      <c r="E5" s="1303" t="s">
        <v>1320</v>
      </c>
      <c r="F5" s="1303" t="s">
        <v>1321</v>
      </c>
      <c r="H5" s="1304" t="s">
        <v>1322</v>
      </c>
      <c r="I5" s="1303" t="s">
        <v>91</v>
      </c>
      <c r="K5" s="1305" t="s">
        <v>1323</v>
      </c>
      <c r="L5" s="1306">
        <f>_xlfn.IFERROR(MATCH(K5,OFFER_METHOD,0),0)</f>
        <v>0</v>
      </c>
      <c r="M5" s="1305">
        <v>4</v>
      </c>
      <c r="N5" s="1319" t="s">
        <v>1324</v>
      </c>
      <c r="O5" s="1303" t="s">
        <v>1325</v>
      </c>
      <c r="Q5" s="1308" t="s">
        <v>1326</v>
      </c>
      <c r="R5" s="370" t="s">
        <v>502</v>
      </c>
      <c r="T5" s="1304" t="s">
        <v>1327</v>
      </c>
      <c r="U5" s="1306" t="s">
        <v>1328</v>
      </c>
      <c r="V5" s="1310">
        <v>4</v>
      </c>
      <c r="W5" s="1311"/>
      <c r="X5" s="1311" t="s">
        <v>166</v>
      </c>
      <c r="Y5" s="1302" t="s">
        <v>1329</v>
      </c>
      <c r="Z5" s="1318">
        <v>1</v>
      </c>
      <c r="AF5" s="1304" t="s">
        <v>1330</v>
      </c>
      <c r="AH5" s="1303" t="s">
        <v>1331</v>
      </c>
      <c r="AK5" s="1303" t="s">
        <v>1332</v>
      </c>
      <c r="AM5" s="1303" t="s">
        <v>1333</v>
      </c>
      <c r="AP5" s="1314" t="s">
        <v>166</v>
      </c>
      <c r="AQ5" s="1315" t="s">
        <v>166</v>
      </c>
      <c r="AU5" s="1347" t="s">
        <v>1334</v>
      </c>
      <c r="AW5" s="1347" t="s">
        <v>1335</v>
      </c>
      <c r="AX5" s="1347" t="s">
        <v>1335</v>
      </c>
      <c r="AZ5" s="1347" t="s">
        <v>1336</v>
      </c>
      <c r="BB5" s="1347" t="s">
        <v>1337</v>
      </c>
      <c r="BC5" s="1347" t="s">
        <v>1338</v>
      </c>
      <c r="BE5" s="1347">
        <v>2003</v>
      </c>
      <c r="BF5" s="1347" t="s">
        <v>1339</v>
      </c>
      <c r="BH5" s="1295" t="s">
        <v>1340</v>
      </c>
      <c r="BJ5" s="1295" t="s">
        <v>1340</v>
      </c>
      <c r="BL5" s="1295" t="s">
        <v>1340</v>
      </c>
      <c r="BN5" s="1295" t="s">
        <v>1341</v>
      </c>
      <c r="BQ5" s="1508">
        <v>4213775</v>
      </c>
      <c r="BR5" s="1295" t="s">
        <v>1237</v>
      </c>
      <c r="BS5" s="1656"/>
      <c r="BT5" s="1508">
        <v>64236871</v>
      </c>
      <c r="BU5" s="1295" t="s">
        <v>232</v>
      </c>
      <c r="BV5" s="1297"/>
      <c r="BW5" s="1922">
        <v>4213767</v>
      </c>
      <c r="BX5" s="1920" t="s">
        <v>1342</v>
      </c>
      <c r="BZ5" s="1508">
        <v>64237509</v>
      </c>
      <c r="CA5" s="1522" t="s">
        <v>1343</v>
      </c>
    </row>
    <row customHeight="1" ht="11.25">
      <c r="A6" s="1301" t="s">
        <v>1344</v>
      </c>
      <c r="B6" s="1302">
        <v>2004</v>
      </c>
      <c r="C6" s="1302">
        <v>2026</v>
      </c>
      <c r="E6" s="1303" t="s">
        <v>1345</v>
      </c>
      <c r="F6" s="1320"/>
      <c r="H6" s="1304" t="s">
        <v>1346</v>
      </c>
      <c r="I6" s="1303" t="s">
        <v>111</v>
      </c>
      <c r="J6" s="1294" t="s">
        <v>1347</v>
      </c>
      <c r="L6" s="1306">
        <f>SUM(kind_of_control_method_filter)</f>
        <v>28</v>
      </c>
      <c r="N6" s="1319" t="s">
        <v>1348</v>
      </c>
      <c r="O6" s="1303" t="s">
        <v>1349</v>
      </c>
      <c r="R6" s="370" t="s">
        <v>505</v>
      </c>
      <c r="T6" s="1304" t="s">
        <v>1350</v>
      </c>
      <c r="U6" s="1306" t="s">
        <v>1330</v>
      </c>
      <c r="V6" s="1310">
        <v>5</v>
      </c>
      <c r="W6" s="1311"/>
      <c r="X6" s="1302" t="s">
        <v>172</v>
      </c>
      <c r="Y6" s="1302" t="s">
        <v>1351</v>
      </c>
      <c r="Z6" s="1318"/>
      <c r="AA6" s="1321"/>
      <c r="AH6" s="1303" t="s">
        <v>1352</v>
      </c>
      <c r="AK6" s="1303" t="s">
        <v>1353</v>
      </c>
      <c r="AM6" s="1303" t="s">
        <v>1354</v>
      </c>
      <c r="AP6" s="1314" t="s">
        <v>172</v>
      </c>
      <c r="AQ6" s="1315" t="s">
        <v>172</v>
      </c>
      <c r="AU6" s="1347" t="s">
        <v>1355</v>
      </c>
      <c r="AW6" s="1347" t="s">
        <v>1356</v>
      </c>
      <c r="AX6" s="1347" t="s">
        <v>1356</v>
      </c>
      <c r="BB6" s="1347" t="s">
        <v>1357</v>
      </c>
      <c r="BC6" s="1347" t="s">
        <v>1338</v>
      </c>
      <c r="BE6" s="1347">
        <v>2004</v>
      </c>
      <c r="BF6" s="1347" t="s">
        <v>1358</v>
      </c>
      <c r="BH6" s="1295" t="s">
        <v>1359</v>
      </c>
      <c r="BJ6" s="1295" t="s">
        <v>1360</v>
      </c>
      <c r="BL6" s="1295" t="s">
        <v>1360</v>
      </c>
      <c r="BN6" s="1295" t="s">
        <v>1361</v>
      </c>
      <c r="BQ6" s="1508">
        <v>4213784</v>
      </c>
      <c r="BR6" s="1522" t="s">
        <v>1270</v>
      </c>
      <c r="BS6" s="1657"/>
      <c r="BT6" s="1508">
        <v>64236872</v>
      </c>
      <c r="BU6" s="1295" t="s">
        <v>239</v>
      </c>
      <c r="BV6" s="1297"/>
      <c r="BW6" s="1922">
        <v>4213768</v>
      </c>
      <c r="BX6" s="1920" t="s">
        <v>259</v>
      </c>
      <c r="BZ6" s="1508">
        <v>64237510</v>
      </c>
      <c r="CA6" s="1295" t="s">
        <v>1362</v>
      </c>
    </row>
    <row customHeight="1" ht="11.25">
      <c r="A7" s="1301" t="s">
        <v>1363</v>
      </c>
      <c r="B7" s="1302">
        <v>2005</v>
      </c>
      <c r="E7" s="1303" t="s">
        <v>1364</v>
      </c>
      <c r="F7" s="1320"/>
      <c r="H7" s="1304" t="s">
        <v>1365</v>
      </c>
      <c r="I7" s="1303" t="s">
        <v>92</v>
      </c>
      <c r="J7" s="1303" t="s">
        <v>1366</v>
      </c>
      <c r="N7" s="1323" t="s">
        <v>1367</v>
      </c>
      <c r="O7" s="1303" t="s">
        <v>1368</v>
      </c>
      <c r="U7" s="1306" t="s">
        <v>19</v>
      </c>
      <c r="V7" s="597" t="s">
        <v>92</v>
      </c>
      <c r="W7" s="1311"/>
      <c r="X7" s="1302" t="s">
        <v>178</v>
      </c>
      <c r="Y7" s="1302" t="s">
        <v>1329</v>
      </c>
      <c r="Z7" s="1318"/>
      <c r="AA7" s="1321"/>
      <c r="AH7" s="1303" t="s">
        <v>1369</v>
      </c>
      <c r="AK7" s="1303" t="s">
        <v>1370</v>
      </c>
      <c r="AM7" s="1303" t="s">
        <v>1371</v>
      </c>
      <c r="AP7" s="1314" t="s">
        <v>178</v>
      </c>
      <c r="AQ7" s="1315" t="s">
        <v>178</v>
      </c>
      <c r="AU7" s="1347" t="s">
        <v>1372</v>
      </c>
      <c r="AW7" s="1347" t="s">
        <v>1373</v>
      </c>
      <c r="AX7" s="1347" t="s">
        <v>1373</v>
      </c>
      <c r="AZ7" s="1294" t="s">
        <v>1374</v>
      </c>
      <c r="BB7" s="1347" t="s">
        <v>1375</v>
      </c>
      <c r="BC7" s="1347" t="s">
        <v>1338</v>
      </c>
      <c r="BE7" s="1347">
        <v>2005</v>
      </c>
      <c r="BF7" s="1347" t="s">
        <v>1376</v>
      </c>
      <c r="BH7" s="1295" t="s">
        <v>1377</v>
      </c>
      <c r="BJ7" s="1295" t="s">
        <v>1359</v>
      </c>
      <c r="BL7" s="1295" t="s">
        <v>1359</v>
      </c>
      <c r="BN7" s="1295" t="s">
        <v>1378</v>
      </c>
      <c r="BQ7" s="1508">
        <v>4213781</v>
      </c>
      <c r="BR7" s="1295" t="s">
        <v>1263</v>
      </c>
      <c r="BS7" s="1656"/>
      <c r="BT7" s="1508">
        <v>64236873</v>
      </c>
      <c r="BU7" s="1295" t="s">
        <v>244</v>
      </c>
      <c r="BV7" s="1297"/>
      <c r="BW7" s="1922">
        <v>4213769</v>
      </c>
      <c r="BX7" s="1920" t="s">
        <v>1379</v>
      </c>
      <c r="BZ7" s="1508">
        <v>64237511</v>
      </c>
      <c r="CA7" s="1295" t="s">
        <v>274</v>
      </c>
    </row>
    <row customHeight="1" ht="11.25">
      <c r="A8" s="1301" t="s">
        <v>1380</v>
      </c>
      <c r="B8" s="1302">
        <v>2006</v>
      </c>
      <c r="E8" s="1303" t="s">
        <v>1381</v>
      </c>
      <c r="F8" s="1320"/>
      <c r="H8" s="1304" t="s">
        <v>1382</v>
      </c>
      <c r="I8" s="1303" t="s">
        <v>93</v>
      </c>
      <c r="J8" s="1303" t="s">
        <v>1383</v>
      </c>
      <c r="N8" s="1390" t="s">
        <v>1384</v>
      </c>
      <c r="O8" s="1303" t="s">
        <v>1385</v>
      </c>
      <c r="V8" s="597" t="s">
        <v>93</v>
      </c>
      <c r="W8" s="1311"/>
      <c r="X8" s="1302" t="s">
        <v>184</v>
      </c>
      <c r="Y8" s="1302" t="s">
        <v>1329</v>
      </c>
      <c r="Z8" s="1318"/>
      <c r="AA8" s="1321"/>
      <c r="AK8" s="1303" t="s">
        <v>1386</v>
      </c>
      <c r="AP8" s="1314" t="s">
        <v>184</v>
      </c>
      <c r="AQ8" s="1315" t="s">
        <v>184</v>
      </c>
      <c r="AU8" s="1347" t="s">
        <v>1387</v>
      </c>
      <c r="AW8" s="1347" t="s">
        <v>1388</v>
      </c>
      <c r="AX8" s="1347" t="s">
        <v>1388</v>
      </c>
      <c r="AZ8" s="1347" t="s">
        <v>1389</v>
      </c>
      <c r="BB8" s="1347" t="s">
        <v>1390</v>
      </c>
      <c r="BC8" s="1347" t="s">
        <v>1338</v>
      </c>
      <c r="BE8" s="1347">
        <v>2006</v>
      </c>
      <c r="BF8" s="1347" t="s">
        <v>1391</v>
      </c>
      <c r="BH8" s="1295" t="s">
        <v>1392</v>
      </c>
      <c r="BJ8" s="1295" t="s">
        <v>1393</v>
      </c>
      <c r="BL8" s="1295" t="s">
        <v>1393</v>
      </c>
      <c r="BN8" s="1295" t="s">
        <v>1394</v>
      </c>
      <c r="BQ8" s="1508">
        <v>4213776</v>
      </c>
      <c r="BR8" s="1295" t="s">
        <v>166</v>
      </c>
      <c r="BS8" s="1656"/>
      <c r="BT8" s="1508">
        <v>64236874</v>
      </c>
      <c r="BU8" s="1522" t="s">
        <v>1395</v>
      </c>
      <c r="BV8" s="1297"/>
      <c r="BW8" s="1922">
        <v>4213770</v>
      </c>
      <c r="BX8" s="1923" t="s">
        <v>1396</v>
      </c>
      <c r="BZ8" s="1508">
        <v>64237512</v>
      </c>
      <c r="CA8" s="1295" t="s">
        <v>269</v>
      </c>
    </row>
    <row customHeight="1" ht="11.25">
      <c r="A9" s="1301" t="s">
        <v>1397</v>
      </c>
      <c r="B9" s="1302">
        <v>2007</v>
      </c>
      <c r="E9" s="1303" t="s">
        <v>1398</v>
      </c>
      <c r="F9" s="1320"/>
      <c r="G9" s="1294" t="s">
        <v>1399</v>
      </c>
      <c r="H9" s="1294" t="s">
        <v>1400</v>
      </c>
      <c r="I9" s="1303" t="s">
        <v>112</v>
      </c>
      <c r="O9" s="1303" t="s">
        <v>1401</v>
      </c>
      <c r="V9" s="597" t="s">
        <v>112</v>
      </c>
      <c r="W9" s="1311"/>
      <c r="X9" s="1302" t="s">
        <v>190</v>
      </c>
      <c r="Y9" s="1302" t="s">
        <v>1238</v>
      </c>
      <c r="Z9" s="1318">
        <v>1</v>
      </c>
      <c r="AA9" s="1321"/>
      <c r="AK9" s="1303" t="s">
        <v>1402</v>
      </c>
      <c r="AP9" s="1314" t="s">
        <v>1403</v>
      </c>
      <c r="AQ9" s="1315" t="s">
        <v>1403</v>
      </c>
      <c r="AW9" s="1347" t="s">
        <v>1404</v>
      </c>
      <c r="AX9" s="1347" t="s">
        <v>1404</v>
      </c>
      <c r="AZ9" s="1347" t="s">
        <v>1405</v>
      </c>
      <c r="BB9" s="1347" t="s">
        <v>1406</v>
      </c>
      <c r="BC9" s="1347" t="s">
        <v>1338</v>
      </c>
      <c r="BE9" s="1347">
        <v>2007</v>
      </c>
      <c r="BF9" s="1347" t="s">
        <v>1407</v>
      </c>
      <c r="BH9" s="1295" t="s">
        <v>1408</v>
      </c>
      <c r="BJ9" s="1295" t="s">
        <v>1409</v>
      </c>
      <c r="BL9" s="1295" t="s">
        <v>1409</v>
      </c>
      <c r="BN9" s="1295" t="s">
        <v>1410</v>
      </c>
      <c r="BQ9" s="1508">
        <v>4213777</v>
      </c>
      <c r="BR9" s="1295" t="s">
        <v>172</v>
      </c>
      <c r="BS9" s="1656"/>
      <c r="BT9" s="1508">
        <v>64236875</v>
      </c>
      <c r="BU9" s="1295" t="s">
        <v>249</v>
      </c>
      <c r="BV9" s="1297"/>
      <c r="BW9" s="1917"/>
      <c r="BX9" s="1917"/>
    </row>
    <row customHeight="1" ht="11.25">
      <c r="A10" s="1301" t="s">
        <v>1411</v>
      </c>
      <c r="B10" s="1302">
        <v>2008</v>
      </c>
      <c r="E10" s="1303" t="s">
        <v>1412</v>
      </c>
      <c r="F10" s="1320"/>
      <c r="G10" s="1303" t="s">
        <v>1413</v>
      </c>
      <c r="H10" s="1303" t="s">
        <v>1414</v>
      </c>
      <c r="I10" s="1303" t="s">
        <v>148</v>
      </c>
      <c r="J10" s="1294" t="s">
        <v>1415</v>
      </c>
      <c r="K10" s="1294" t="s">
        <v>1416</v>
      </c>
      <c r="O10" s="1303" t="s">
        <v>1417</v>
      </c>
      <c r="V10" s="598" t="s">
        <v>148</v>
      </c>
      <c r="W10" s="1324"/>
      <c r="X10" s="1324" t="s">
        <v>1418</v>
      </c>
      <c r="Y10" s="1325" t="s">
        <v>1419</v>
      </c>
      <c r="Z10" s="1318"/>
      <c r="AP10" s="1314" t="s">
        <v>1418</v>
      </c>
      <c r="AQ10" s="1315" t="s">
        <v>1418</v>
      </c>
      <c r="AW10" s="1347" t="s">
        <v>1420</v>
      </c>
      <c r="AX10" s="1347" t="s">
        <v>1420</v>
      </c>
      <c r="AZ10" s="1347" t="s">
        <v>1421</v>
      </c>
      <c r="BB10" s="1347" t="s">
        <v>1422</v>
      </c>
      <c r="BC10" s="1347" t="s">
        <v>1338</v>
      </c>
      <c r="BE10" s="1347">
        <v>2008</v>
      </c>
      <c r="BF10" s="1347" t="s">
        <v>1423</v>
      </c>
      <c r="BH10" s="1295" t="s">
        <v>1424</v>
      </c>
      <c r="BJ10" s="1295" t="s">
        <v>1425</v>
      </c>
      <c r="BL10" s="1295" t="s">
        <v>1425</v>
      </c>
      <c r="BN10" s="1295" t="s">
        <v>1426</v>
      </c>
      <c r="BQ10" s="1508">
        <v>4213778</v>
      </c>
      <c r="BR10" s="1295" t="s">
        <v>178</v>
      </c>
      <c r="BS10" s="1656"/>
      <c r="BT10" s="1508">
        <v>64236876</v>
      </c>
      <c r="BU10" s="1295" t="s">
        <v>222</v>
      </c>
      <c r="BV10" s="1297"/>
      <c r="BW10" s="1917"/>
      <c r="BX10" s="1917"/>
    </row>
    <row customHeight="1" ht="11.25">
      <c r="A11" s="1301" t="s">
        <v>1427</v>
      </c>
      <c r="B11" s="1302">
        <v>2009</v>
      </c>
      <c r="E11" s="1303" t="s">
        <v>1428</v>
      </c>
      <c r="F11" s="1320"/>
      <c r="G11" s="1303" t="s">
        <v>1429</v>
      </c>
      <c r="H11" s="1303" t="s">
        <v>1430</v>
      </c>
      <c r="I11" s="1303" t="s">
        <v>149</v>
      </c>
      <c r="J11" s="1304" t="s">
        <v>1431</v>
      </c>
      <c r="K11" s="1326" t="s">
        <v>1432</v>
      </c>
      <c r="O11" s="1304" t="s">
        <v>1433</v>
      </c>
      <c r="V11" s="597" t="s">
        <v>149</v>
      </c>
      <c r="W11" s="502"/>
      <c r="X11" s="1311" t="s">
        <v>1403</v>
      </c>
      <c r="Y11" s="1302" t="s">
        <v>1434</v>
      </c>
      <c r="Z11" s="1318"/>
      <c r="AP11" s="1314" t="s">
        <v>190</v>
      </c>
      <c r="AQ11" s="1316" t="s">
        <v>190</v>
      </c>
      <c r="AW11" s="1347" t="s">
        <v>1435</v>
      </c>
      <c r="AX11" s="1347" t="s">
        <v>1435</v>
      </c>
      <c r="AZ11" s="1347" t="s">
        <v>1436</v>
      </c>
      <c r="BB11" s="1347" t="s">
        <v>1437</v>
      </c>
      <c r="BC11" s="1347" t="s">
        <v>1338</v>
      </c>
      <c r="BE11" s="1347">
        <v>2009</v>
      </c>
      <c r="BF11" s="1347" t="s">
        <v>1438</v>
      </c>
      <c r="BH11" s="1295" t="s">
        <v>1439</v>
      </c>
      <c r="BJ11" s="1295" t="s">
        <v>1408</v>
      </c>
      <c r="BL11" s="1295" t="s">
        <v>1408</v>
      </c>
      <c r="BN11" s="1295" t="s">
        <v>1440</v>
      </c>
      <c r="BQ11" s="1508">
        <v>4213780</v>
      </c>
      <c r="BR11" s="1295" t="s">
        <v>184</v>
      </c>
      <c r="BS11" s="1656"/>
      <c r="BW11" s="1917"/>
      <c r="BX11" s="1917"/>
    </row>
    <row customHeight="1" ht="11.25">
      <c r="A12" s="1301" t="s">
        <v>1441</v>
      </c>
      <c r="B12" s="1302">
        <v>2010</v>
      </c>
      <c r="E12" s="1303" t="s">
        <v>1442</v>
      </c>
      <c r="F12" s="1320"/>
      <c r="G12" s="1303" t="s">
        <v>1430</v>
      </c>
      <c r="I12" s="1303" t="s">
        <v>150</v>
      </c>
      <c r="J12" s="1304" t="s">
        <v>1443</v>
      </c>
      <c r="K12" s="1326" t="s">
        <v>1444</v>
      </c>
      <c r="O12" s="1304" t="s">
        <v>505</v>
      </c>
      <c r="V12" s="597" t="s">
        <v>150</v>
      </c>
      <c r="W12" s="1316"/>
      <c r="X12" s="1311" t="s">
        <v>1445</v>
      </c>
      <c r="Y12" s="1302" t="s">
        <v>1238</v>
      </c>
      <c r="AP12" s="1314"/>
      <c r="AW12" s="1347" t="s">
        <v>149</v>
      </c>
      <c r="AX12" s="1347" t="s">
        <v>149</v>
      </c>
      <c r="AZ12" s="1347" t="s">
        <v>1446</v>
      </c>
      <c r="BB12" s="1347" t="s">
        <v>1447</v>
      </c>
      <c r="BC12" s="1347" t="s">
        <v>1338</v>
      </c>
      <c r="BE12" s="1347">
        <v>2010</v>
      </c>
      <c r="BF12" s="1347" t="s">
        <v>1448</v>
      </c>
      <c r="BH12" s="1295" t="s">
        <v>1449</v>
      </c>
      <c r="BJ12" s="1295" t="s">
        <v>1450</v>
      </c>
      <c r="BL12" s="1295" t="s">
        <v>1450</v>
      </c>
      <c r="BN12" s="1295" t="s">
        <v>1451</v>
      </c>
      <c r="BQ12" s="1508">
        <v>4213779</v>
      </c>
      <c r="BR12" s="1295" t="s">
        <v>1403</v>
      </c>
      <c r="BS12" s="1656"/>
      <c r="BT12" s="1297"/>
      <c r="BU12" s="1297"/>
      <c r="BV12" s="1297"/>
      <c r="BW12" s="1917"/>
      <c r="BX12" s="1917"/>
    </row>
    <row customHeight="1" ht="11.25">
      <c r="A13" s="1301" t="s">
        <v>1452</v>
      </c>
      <c r="B13" s="1302">
        <v>2011</v>
      </c>
      <c r="E13" s="1303" t="s">
        <v>1453</v>
      </c>
      <c r="F13" s="1320"/>
      <c r="I13" s="1303" t="s">
        <v>151</v>
      </c>
      <c r="K13" s="1326" t="s">
        <v>1402</v>
      </c>
      <c r="V13" s="597" t="s">
        <v>151</v>
      </c>
      <c r="W13" s="1316"/>
      <c r="X13" s="1316"/>
      <c r="Y13" s="1316"/>
      <c r="AW13" s="1347" t="s">
        <v>150</v>
      </c>
      <c r="AX13" s="1347" t="s">
        <v>150</v>
      </c>
      <c r="BB13" s="1347" t="s">
        <v>1454</v>
      </c>
      <c r="BC13" s="1347" t="s">
        <v>1455</v>
      </c>
      <c r="BE13" s="1347">
        <v>2011</v>
      </c>
      <c r="BF13" s="1347" t="s">
        <v>1456</v>
      </c>
      <c r="BH13" s="1295" t="s">
        <v>1457</v>
      </c>
      <c r="BJ13" s="1295" t="s">
        <v>1439</v>
      </c>
      <c r="BL13" s="1295" t="s">
        <v>1439</v>
      </c>
      <c r="BN13" s="1295" t="s">
        <v>1458</v>
      </c>
      <c r="BQ13" s="1508">
        <v>4213783</v>
      </c>
      <c r="BR13" s="1295" t="s">
        <v>1418</v>
      </c>
      <c r="BS13" s="1656"/>
      <c r="BT13" s="1297"/>
      <c r="BU13" s="1297"/>
      <c r="BV13" s="1297"/>
      <c r="BW13" s="1921"/>
      <c r="BX13" s="1917"/>
    </row>
    <row customHeight="1" ht="11.25">
      <c r="A14" s="1301" t="s">
        <v>1459</v>
      </c>
      <c r="B14" s="1302">
        <v>2012</v>
      </c>
      <c r="I14" s="1303" t="s">
        <v>152</v>
      </c>
      <c r="J14" s="1294" t="s">
        <v>1460</v>
      </c>
      <c r="N14" s="1294" t="s">
        <v>1461</v>
      </c>
      <c r="V14" s="1310">
        <v>13</v>
      </c>
      <c r="W14" s="1311"/>
      <c r="X14" s="1311" t="s">
        <v>1270</v>
      </c>
      <c r="Y14" s="1302" t="s">
        <v>1238</v>
      </c>
      <c r="AW14" s="1347" t="s">
        <v>151</v>
      </c>
      <c r="AX14" s="1347" t="s">
        <v>151</v>
      </c>
      <c r="AZ14" s="1294" t="s">
        <v>1462</v>
      </c>
      <c r="BB14" s="1347" t="s">
        <v>1463</v>
      </c>
      <c r="BC14" s="1347" t="s">
        <v>1455</v>
      </c>
      <c r="BE14" s="1347">
        <v>2012</v>
      </c>
      <c r="BH14" s="1295" t="s">
        <v>1378</v>
      </c>
      <c r="BJ14" s="1444" t="s">
        <v>1464</v>
      </c>
      <c r="BL14" s="1444" t="s">
        <v>1464</v>
      </c>
      <c r="BN14" s="1295" t="s">
        <v>1465</v>
      </c>
      <c r="BQ14" s="1508">
        <v>4213782</v>
      </c>
      <c r="BR14" s="1295" t="s">
        <v>190</v>
      </c>
      <c r="BS14" s="1656"/>
      <c r="BT14" s="1297"/>
      <c r="BU14" s="1297"/>
      <c r="BV14" s="1297"/>
      <c r="BW14" s="1921"/>
      <c r="BX14" s="1917"/>
    </row>
    <row customHeight="1" ht="19.5">
      <c r="A15" s="1301" t="s">
        <v>1466</v>
      </c>
      <c r="B15" s="1302">
        <v>2013</v>
      </c>
      <c r="E15" s="1925" t="s">
        <v>1467</v>
      </c>
      <c r="G15" s="1294" t="s">
        <v>1468</v>
      </c>
      <c r="H15" s="1294" t="s">
        <v>1469</v>
      </c>
      <c r="I15" s="1305" t="s">
        <v>153</v>
      </c>
      <c r="J15" s="1316" t="s">
        <v>592</v>
      </c>
      <c r="N15" s="1385" t="s">
        <v>1470</v>
      </c>
      <c r="X15" s="1314"/>
      <c r="AW15" s="1347" t="s">
        <v>152</v>
      </c>
      <c r="AX15" s="1347" t="s">
        <v>152</v>
      </c>
      <c r="AZ15" s="1347" t="s">
        <v>1389</v>
      </c>
      <c r="BB15" s="1347" t="s">
        <v>1471</v>
      </c>
      <c r="BC15" s="1347" t="s">
        <v>1455</v>
      </c>
      <c r="BE15" s="1347">
        <v>2013</v>
      </c>
      <c r="BH15" s="1295" t="s">
        <v>1394</v>
      </c>
      <c r="BJ15" s="1444" t="s">
        <v>1472</v>
      </c>
      <c r="BL15" s="1444" t="s">
        <v>1472</v>
      </c>
      <c r="BN15" s="1295" t="s">
        <v>1473</v>
      </c>
      <c r="BR15" s="1297"/>
      <c r="BS15" s="1658"/>
      <c r="BT15" s="1297"/>
      <c r="BU15" s="1297"/>
      <c r="BV15" s="1297"/>
      <c r="BW15" s="1921"/>
      <c r="BX15" s="1917"/>
    </row>
    <row customHeight="1" ht="21">
      <c r="A16" s="2097" t="s">
        <v>1474</v>
      </c>
      <c r="B16" s="1302">
        <v>2014</v>
      </c>
      <c r="E16" s="1926" t="s">
        <v>1475</v>
      </c>
      <c r="G16" s="1303" t="s">
        <v>1476</v>
      </c>
      <c r="H16" s="1303" t="s">
        <v>1477</v>
      </c>
      <c r="I16" s="1305" t="s">
        <v>1478</v>
      </c>
      <c r="J16" s="1316" t="s">
        <v>565</v>
      </c>
      <c r="N16" s="1385" t="s">
        <v>1479</v>
      </c>
      <c r="AW16" s="1347" t="s">
        <v>153</v>
      </c>
      <c r="AX16" s="1347" t="s">
        <v>153</v>
      </c>
      <c r="AZ16" s="1347" t="s">
        <v>1405</v>
      </c>
      <c r="BB16" s="1347" t="s">
        <v>1480</v>
      </c>
      <c r="BC16" s="1347" t="s">
        <v>1455</v>
      </c>
      <c r="BE16" s="1347">
        <v>2014</v>
      </c>
      <c r="BH16" s="1295" t="s">
        <v>1410</v>
      </c>
      <c r="BJ16" s="1444" t="s">
        <v>1481</v>
      </c>
      <c r="BL16" s="1444" t="s">
        <v>1481</v>
      </c>
      <c r="BN16" s="1295" t="s">
        <v>1482</v>
      </c>
      <c r="BR16" s="1297"/>
      <c r="BS16" s="1658"/>
      <c r="BT16" s="1297"/>
      <c r="BU16" s="1297"/>
      <c r="BV16" s="1297"/>
      <c r="BW16" s="1921"/>
      <c r="BX16" s="1917"/>
    </row>
    <row customHeight="1" ht="21">
      <c r="A17" s="1301" t="s">
        <v>1483</v>
      </c>
      <c r="B17" s="1302">
        <v>2015</v>
      </c>
      <c r="G17" s="1303" t="s">
        <v>1430</v>
      </c>
      <c r="H17" s="1303" t="s">
        <v>1430</v>
      </c>
      <c r="I17" s="1303" t="s">
        <v>1484</v>
      </c>
      <c r="N17" s="1385" t="s">
        <v>1485</v>
      </c>
      <c r="X17" s="1314"/>
      <c r="AW17" s="1347" t="s">
        <v>1478</v>
      </c>
      <c r="AX17" s="1347" t="s">
        <v>1478</v>
      </c>
      <c r="AZ17" s="1347" t="s">
        <v>1486</v>
      </c>
      <c r="BB17" s="1347" t="s">
        <v>1487</v>
      </c>
      <c r="BC17" s="1347" t="s">
        <v>1338</v>
      </c>
      <c r="BE17" s="1347">
        <v>2015</v>
      </c>
      <c r="BH17" s="1295" t="s">
        <v>1426</v>
      </c>
      <c r="BJ17" s="1444" t="s">
        <v>1488</v>
      </c>
      <c r="BL17" s="1444" t="s">
        <v>1488</v>
      </c>
      <c r="BN17" s="1295" t="s">
        <v>1489</v>
      </c>
      <c r="BR17" s="1294" t="s">
        <v>1281</v>
      </c>
      <c r="BS17" s="1655"/>
      <c r="BU17" s="1294" t="s">
        <v>1490</v>
      </c>
      <c r="BV17" s="1297"/>
      <c r="BW17" s="1917"/>
      <c r="BX17" s="1919" t="s">
        <v>1491</v>
      </c>
      <c r="CA17" s="1294" t="s">
        <v>1492</v>
      </c>
      <c r="CD17" s="1294" t="s">
        <v>1493</v>
      </c>
    </row>
    <row customHeight="1" ht="21">
      <c r="A18" s="1301" t="s">
        <v>1494</v>
      </c>
      <c r="B18" s="1302">
        <v>2016</v>
      </c>
      <c r="E18" s="2232" t="s">
        <v>1495</v>
      </c>
      <c r="I18" s="1303" t="s">
        <v>1496</v>
      </c>
      <c r="N18" s="1385" t="s">
        <v>1497</v>
      </c>
      <c r="X18" s="1314"/>
      <c r="AW18" s="1347" t="s">
        <v>1484</v>
      </c>
      <c r="AX18" s="1347" t="s">
        <v>1484</v>
      </c>
      <c r="BB18" s="1347" t="s">
        <v>1498</v>
      </c>
      <c r="BC18" s="1347" t="s">
        <v>1338</v>
      </c>
      <c r="BE18" s="1347">
        <v>2016</v>
      </c>
      <c r="BH18" s="1295" t="s">
        <v>1440</v>
      </c>
      <c r="BJ18" s="1444" t="s">
        <v>1499</v>
      </c>
      <c r="BL18" s="1444" t="s">
        <v>1499</v>
      </c>
      <c r="BN18" s="1295" t="s">
        <v>1500</v>
      </c>
      <c r="BQ18" s="1659" t="s">
        <v>1311</v>
      </c>
      <c r="BR18" s="1386" t="s">
        <v>1312</v>
      </c>
      <c r="BS18" s="501"/>
      <c r="BT18" s="1659" t="s">
        <v>1501</v>
      </c>
      <c r="BU18" s="1386" t="s">
        <v>1502</v>
      </c>
      <c r="BV18" s="1297"/>
      <c r="BW18" s="1924" t="s">
        <v>1503</v>
      </c>
      <c r="BX18" s="1918" t="s">
        <v>1504</v>
      </c>
      <c r="BZ18" s="1659" t="s">
        <v>1505</v>
      </c>
      <c r="CA18" s="1386" t="s">
        <v>1506</v>
      </c>
      <c r="CC18" s="1659" t="s">
        <v>1507</v>
      </c>
      <c r="CD18" s="1386" t="s">
        <v>1508</v>
      </c>
    </row>
    <row customHeight="1" ht="21">
      <c r="A19" s="2097" t="s">
        <v>1509</v>
      </c>
      <c r="B19" s="1302">
        <v>2017</v>
      </c>
      <c r="E19" s="1301" t="s">
        <v>165</v>
      </c>
      <c r="I19" s="1303" t="s">
        <v>1510</v>
      </c>
      <c r="N19" s="1385" t="s">
        <v>1511</v>
      </c>
      <c r="X19" s="1314"/>
      <c r="AW19" s="1347" t="s">
        <v>1496</v>
      </c>
      <c r="AX19" s="1347" t="s">
        <v>1496</v>
      </c>
      <c r="AZ19" s="1294" t="s">
        <v>1512</v>
      </c>
      <c r="BB19" s="1347" t="s">
        <v>1513</v>
      </c>
      <c r="BC19" s="1347" t="s">
        <v>1338</v>
      </c>
      <c r="BE19" s="1347">
        <v>2017</v>
      </c>
      <c r="BH19" s="1295" t="s">
        <v>1514</v>
      </c>
      <c r="BJ19" s="1444" t="s">
        <v>1515</v>
      </c>
      <c r="BL19" s="1444" t="s">
        <v>1515</v>
      </c>
      <c r="BQ19" s="1508">
        <v>4190064</v>
      </c>
      <c r="BR19" s="1295" t="s">
        <v>1516</v>
      </c>
      <c r="BS19" s="1656"/>
      <c r="BT19" s="1508">
        <v>4189671</v>
      </c>
      <c r="BU19" s="1295" t="s">
        <v>1517</v>
      </c>
      <c r="BV19" s="1297"/>
      <c r="BW19" s="1922">
        <v>4189706</v>
      </c>
      <c r="BX19" s="1920" t="s">
        <v>1518</v>
      </c>
      <c r="BZ19" s="1508">
        <v>4189714</v>
      </c>
      <c r="CA19" s="1295" t="s">
        <v>1519</v>
      </c>
      <c r="CC19" s="1508">
        <v>4189708</v>
      </c>
      <c r="CD19" s="1295" t="s">
        <v>1520</v>
      </c>
    </row>
    <row customHeight="1" ht="21">
      <c r="A20" s="1301" t="s">
        <v>1521</v>
      </c>
      <c r="B20" s="1302">
        <v>2018</v>
      </c>
      <c r="E20" s="1301" t="s">
        <v>1270</v>
      </c>
      <c r="I20" s="1303" t="s">
        <v>1522</v>
      </c>
      <c r="N20" s="1385" t="s">
        <v>1523</v>
      </c>
      <c r="AW20" s="1347" t="s">
        <v>1510</v>
      </c>
      <c r="AX20" s="1347" t="s">
        <v>1510</v>
      </c>
      <c r="AZ20" s="1347" t="s">
        <v>1524</v>
      </c>
      <c r="BB20" s="1347" t="s">
        <v>1525</v>
      </c>
      <c r="BC20" s="1347" t="s">
        <v>1455</v>
      </c>
      <c r="BE20" s="1347">
        <v>2018</v>
      </c>
      <c r="BH20" s="1295" t="s">
        <v>1451</v>
      </c>
      <c r="BJ20" s="1295" t="s">
        <v>1378</v>
      </c>
      <c r="BL20" s="1295" t="s">
        <v>1378</v>
      </c>
      <c r="BQ20" s="1508">
        <v>4190065</v>
      </c>
      <c r="BR20" s="1295" t="s">
        <v>1526</v>
      </c>
      <c r="BS20" s="1656"/>
      <c r="BT20" s="1508">
        <v>4189672</v>
      </c>
      <c r="BU20" s="1295" t="s">
        <v>1527</v>
      </c>
      <c r="BV20" s="1297"/>
      <c r="BW20" s="1922">
        <v>4189705</v>
      </c>
      <c r="BX20" s="1920" t="s">
        <v>1528</v>
      </c>
      <c r="BZ20" s="1508">
        <v>4189713</v>
      </c>
      <c r="CA20" s="1295" t="s">
        <v>1528</v>
      </c>
      <c r="CC20" s="1508">
        <v>4189709</v>
      </c>
      <c r="CD20" s="1295" t="s">
        <v>1529</v>
      </c>
    </row>
    <row customHeight="1" ht="21">
      <c r="A21" s="1301" t="s">
        <v>1530</v>
      </c>
      <c r="B21" s="1302">
        <v>2019</v>
      </c>
      <c r="I21" s="1303" t="s">
        <v>1531</v>
      </c>
      <c r="N21" s="1385" t="s">
        <v>1532</v>
      </c>
      <c r="AW21" s="1347" t="s">
        <v>1522</v>
      </c>
      <c r="AX21" s="1347" t="s">
        <v>1522</v>
      </c>
      <c r="AZ21" s="1347" t="s">
        <v>1533</v>
      </c>
      <c r="BB21" s="1347" t="s">
        <v>1534</v>
      </c>
      <c r="BC21" s="1347" t="s">
        <v>1338</v>
      </c>
      <c r="BE21" s="1347">
        <v>2019</v>
      </c>
      <c r="BH21" s="1295" t="s">
        <v>1458</v>
      </c>
      <c r="BJ21" s="1295" t="s">
        <v>1394</v>
      </c>
      <c r="BL21" s="1295" t="s">
        <v>1394</v>
      </c>
      <c r="BQ21" s="1508">
        <v>4190066</v>
      </c>
      <c r="BR21" s="1295" t="s">
        <v>1535</v>
      </c>
      <c r="BS21" s="1656"/>
      <c r="BT21" s="1508">
        <v>4189673</v>
      </c>
      <c r="BU21" s="1295" t="s">
        <v>1536</v>
      </c>
      <c r="BV21" s="1297"/>
      <c r="BW21" s="1922">
        <v>4189707</v>
      </c>
      <c r="BX21" s="1920" t="s">
        <v>1537</v>
      </c>
      <c r="BZ21" s="1508">
        <v>4189712</v>
      </c>
      <c r="CA21" s="1295" t="s">
        <v>1538</v>
      </c>
      <c r="CC21" s="1508">
        <v>4189710</v>
      </c>
      <c r="CD21" s="1295" t="s">
        <v>1539</v>
      </c>
    </row>
    <row customHeight="1" ht="21">
      <c r="A22" s="1301" t="s">
        <v>1540</v>
      </c>
      <c r="B22" s="1302">
        <v>2020</v>
      </c>
      <c r="N22" s="1385" t="s">
        <v>1541</v>
      </c>
      <c r="AW22" s="1347" t="s">
        <v>1531</v>
      </c>
      <c r="AX22" s="1347" t="s">
        <v>1531</v>
      </c>
      <c r="AZ22" s="1347" t="s">
        <v>1542</v>
      </c>
      <c r="BB22" s="1347" t="s">
        <v>1543</v>
      </c>
      <c r="BC22" s="1347" t="s">
        <v>1338</v>
      </c>
      <c r="BE22" s="1347">
        <v>2020</v>
      </c>
      <c r="BH22" s="1295" t="s">
        <v>1465</v>
      </c>
      <c r="BJ22" s="1295" t="s">
        <v>1410</v>
      </c>
      <c r="BL22" s="1295" t="s">
        <v>1410</v>
      </c>
      <c r="BQ22" s="1508">
        <v>4190067</v>
      </c>
      <c r="BR22" s="1295" t="s">
        <v>1544</v>
      </c>
      <c r="BS22" s="1656"/>
      <c r="BT22" s="1508">
        <v>4189674</v>
      </c>
      <c r="BU22" s="1295" t="s">
        <v>1545</v>
      </c>
      <c r="BV22" s="1297"/>
      <c r="BW22" s="1297"/>
      <c r="CC22" s="1508">
        <v>4189711</v>
      </c>
      <c r="CD22" s="1295" t="s">
        <v>298</v>
      </c>
    </row>
    <row customHeight="1" ht="21">
      <c r="A23" s="1301" t="s">
        <v>1546</v>
      </c>
      <c r="B23" s="1302">
        <v>2021</v>
      </c>
      <c r="AW23" s="1347" t="s">
        <v>1547</v>
      </c>
      <c r="AX23" s="1347" t="s">
        <v>1547</v>
      </c>
      <c r="AZ23" s="1347" t="s">
        <v>1548</v>
      </c>
      <c r="BB23" s="1347" t="s">
        <v>1549</v>
      </c>
      <c r="BC23" s="1347" t="s">
        <v>1249</v>
      </c>
      <c r="BE23" s="1347">
        <v>2021</v>
      </c>
      <c r="BH23" s="1295" t="s">
        <v>1473</v>
      </c>
      <c r="BJ23" s="1295" t="s">
        <v>1426</v>
      </c>
      <c r="BL23" s="1295" t="s">
        <v>1426</v>
      </c>
      <c r="BQ23" s="1508">
        <v>4190068</v>
      </c>
      <c r="BR23" s="1295" t="s">
        <v>1550</v>
      </c>
      <c r="BS23" s="1656"/>
      <c r="BT23" s="1508">
        <v>4189675</v>
      </c>
      <c r="BU23" s="1295" t="s">
        <v>1551</v>
      </c>
      <c r="BV23" s="1297"/>
      <c r="BW23" s="1297"/>
      <c r="CC23" s="1508">
        <v>5110778</v>
      </c>
      <c r="CD23" s="1295" t="s">
        <v>1552</v>
      </c>
    </row>
    <row customHeight="1" ht="21">
      <c r="A24" s="1301" t="s">
        <v>1553</v>
      </c>
      <c r="B24" s="1302">
        <v>2022</v>
      </c>
      <c r="AW24" s="1347" t="s">
        <v>1554</v>
      </c>
      <c r="AX24" s="1347" t="s">
        <v>1554</v>
      </c>
      <c r="AZ24" s="1347" t="s">
        <v>1555</v>
      </c>
      <c r="BB24" s="1347" t="s">
        <v>1556</v>
      </c>
      <c r="BC24" s="1347" t="s">
        <v>1557</v>
      </c>
      <c r="BE24" s="1347">
        <v>2022</v>
      </c>
      <c r="BH24" s="1295" t="s">
        <v>1482</v>
      </c>
      <c r="BJ24" s="1295" t="s">
        <v>1440</v>
      </c>
      <c r="BL24" s="1295" t="s">
        <v>1440</v>
      </c>
      <c r="BQ24" s="1508">
        <v>4190069</v>
      </c>
      <c r="BR24" s="1295" t="s">
        <v>1558</v>
      </c>
      <c r="BS24" s="1656"/>
      <c r="BT24" s="1508">
        <v>4189676</v>
      </c>
      <c r="BU24" s="1295" t="s">
        <v>1559</v>
      </c>
      <c r="BV24" s="1297"/>
      <c r="BW24" s="1297"/>
      <c r="CC24" s="1508">
        <v>25575374</v>
      </c>
      <c r="CD24" s="1295" t="s">
        <v>1560</v>
      </c>
    </row>
    <row customHeight="1" ht="11.25">
      <c r="A25" s="1301" t="s">
        <v>1561</v>
      </c>
      <c r="B25" s="1302">
        <v>2023</v>
      </c>
      <c r="AW25" s="1347" t="s">
        <v>1562</v>
      </c>
      <c r="AX25" s="1347" t="s">
        <v>1562</v>
      </c>
      <c r="AZ25" s="1347" t="s">
        <v>1563</v>
      </c>
      <c r="BB25" s="1347" t="s">
        <v>1564</v>
      </c>
      <c r="BC25" s="1347" t="s">
        <v>1557</v>
      </c>
      <c r="BE25" s="1347">
        <v>2023</v>
      </c>
      <c r="BH25" s="1295" t="s">
        <v>1489</v>
      </c>
      <c r="BJ25" s="1295" t="s">
        <v>1514</v>
      </c>
      <c r="BL25" s="1295" t="s">
        <v>1514</v>
      </c>
      <c r="BQ25" s="1508">
        <v>4190070</v>
      </c>
      <c r="BR25" s="1295" t="s">
        <v>1565</v>
      </c>
      <c r="BS25" s="1656"/>
      <c r="BT25" s="1508">
        <v>4189677</v>
      </c>
      <c r="BU25" s="1295" t="s">
        <v>1566</v>
      </c>
      <c r="BV25" s="1297"/>
      <c r="BW25" s="1297"/>
    </row>
    <row customHeight="1" ht="11.25">
      <c r="A26" s="1301" t="s">
        <v>1567</v>
      </c>
      <c r="B26" s="1302">
        <v>2024</v>
      </c>
      <c r="J26" s="1958" t="s">
        <v>1568</v>
      </c>
      <c r="AX26" s="1347" t="s">
        <v>1569</v>
      </c>
      <c r="AZ26" s="1347" t="s">
        <v>1433</v>
      </c>
      <c r="BB26" s="1347" t="s">
        <v>1570</v>
      </c>
      <c r="BC26" s="1347" t="s">
        <v>1557</v>
      </c>
      <c r="BE26" s="1347">
        <v>2024</v>
      </c>
      <c r="BH26" s="1295" t="s">
        <v>1500</v>
      </c>
      <c r="BJ26" s="1295" t="s">
        <v>1451</v>
      </c>
      <c r="BL26" s="1295" t="s">
        <v>1451</v>
      </c>
      <c r="BQ26" s="1508">
        <v>4190071</v>
      </c>
      <c r="BR26" s="1295" t="s">
        <v>1571</v>
      </c>
      <c r="BS26" s="1656"/>
      <c r="BV26" s="1297"/>
      <c r="BW26" s="1297"/>
    </row>
    <row customHeight="1" ht="11.25">
      <c r="A27" s="1301" t="s">
        <v>1572</v>
      </c>
      <c r="B27" s="1302">
        <v>2025</v>
      </c>
      <c r="J27" s="403" t="s">
        <v>491</v>
      </c>
      <c r="AX27" s="1347" t="s">
        <v>1573</v>
      </c>
      <c r="BB27" s="1347" t="s">
        <v>1574</v>
      </c>
      <c r="BC27" s="1347" t="s">
        <v>1557</v>
      </c>
      <c r="BE27" s="1347">
        <v>2025</v>
      </c>
      <c r="BH27" s="1297" t="s">
        <v>28</v>
      </c>
      <c r="BJ27" s="1295" t="s">
        <v>1458</v>
      </c>
      <c r="BL27" s="1295" t="s">
        <v>1458</v>
      </c>
      <c r="BN27" s="1297" t="s">
        <v>28</v>
      </c>
      <c r="BQ27" s="1508">
        <v>4190072</v>
      </c>
      <c r="BR27" s="1295" t="s">
        <v>1575</v>
      </c>
      <c r="BS27" s="1656"/>
      <c r="BV27" s="1297"/>
      <c r="BW27" s="1297"/>
    </row>
    <row customHeight="1" ht="11.25">
      <c r="A28" s="1301" t="s">
        <v>1576</v>
      </c>
      <c r="D28" s="1328"/>
      <c r="E28" s="1329"/>
      <c r="F28" s="1329"/>
      <c r="H28" s="1330" t="s">
        <v>1577</v>
      </c>
      <c r="AX28" s="1347" t="s">
        <v>1578</v>
      </c>
      <c r="AZ28" s="1294" t="s">
        <v>1579</v>
      </c>
      <c r="BB28" s="1347" t="s">
        <v>1580</v>
      </c>
      <c r="BC28" s="1347" t="s">
        <v>1581</v>
      </c>
      <c r="BE28" s="1347">
        <v>2026</v>
      </c>
      <c r="BH28" s="1297" t="s">
        <v>28</v>
      </c>
      <c r="BJ28" s="1295" t="s">
        <v>1465</v>
      </c>
      <c r="BL28" s="1295" t="s">
        <v>1465</v>
      </c>
      <c r="BN28" s="1297" t="s">
        <v>28</v>
      </c>
      <c r="BQ28" s="1508">
        <v>4190073</v>
      </c>
      <c r="BR28" s="1295" t="s">
        <v>1582</v>
      </c>
      <c r="BS28" s="1656"/>
      <c r="BV28" s="1297"/>
      <c r="BW28" s="1297"/>
    </row>
    <row customHeight="1" ht="11.25">
      <c r="A29" s="1301" t="s">
        <v>1583</v>
      </c>
      <c r="D29" s="1331" t="s">
        <v>1584</v>
      </c>
      <c r="E29" s="1332" t="str">
        <f>IF(TEMPLATE_GROUP="","",INDEX(StartDateList,MATCH(TEMPLATE_GROUP,CodeTemplateList,0),1))</f>
        <v>01.01.2024</v>
      </c>
      <c r="F29" s="1332" t="str">
        <f>IF(TEMPLATE_GROUP="","",INDEX(EndDateList,MATCH(TEMPLATE_GROUP,CodeTemplateList,0),1))</f>
        <v>31.12.2028</v>
      </c>
      <c r="H29" s="1333" t="s">
        <v>1585</v>
      </c>
      <c r="AX29" s="1347" t="s">
        <v>1586</v>
      </c>
      <c r="AZ29" s="1347" t="s">
        <v>1233</v>
      </c>
      <c r="BB29" s="1347" t="s">
        <v>1433</v>
      </c>
      <c r="BC29" s="1318"/>
      <c r="BE29" s="1347">
        <v>2027</v>
      </c>
      <c r="BJ29" s="1295" t="s">
        <v>1473</v>
      </c>
      <c r="BL29" s="1295" t="s">
        <v>1473</v>
      </c>
    </row>
    <row customHeight="1" ht="11.25">
      <c r="A30" s="1301" t="s">
        <v>1587</v>
      </c>
      <c r="D30" s="1334"/>
      <c r="E30" s="1335"/>
      <c r="F30" s="1335"/>
      <c r="AX30" s="1347" t="s">
        <v>1588</v>
      </c>
      <c r="AZ30" s="1347" t="s">
        <v>1259</v>
      </c>
      <c r="BE30" s="1347">
        <v>2028</v>
      </c>
      <c r="BJ30" s="1295" t="s">
        <v>1589</v>
      </c>
      <c r="BL30" s="1295" t="s">
        <v>1589</v>
      </c>
    </row>
    <row customHeight="1" ht="12.75">
      <c r="A31" s="1301" t="s">
        <v>1590</v>
      </c>
      <c r="D31" s="1328"/>
      <c r="E31" s="1329"/>
      <c r="F31" s="1329"/>
      <c r="H31" s="1336"/>
      <c r="AX31" s="1347" t="s">
        <v>1591</v>
      </c>
      <c r="AZ31" s="1347" t="s">
        <v>500</v>
      </c>
      <c r="BE31" s="1347">
        <v>2029</v>
      </c>
      <c r="BJ31" s="1295" t="s">
        <v>1592</v>
      </c>
      <c r="BL31" s="1295" t="s">
        <v>1592</v>
      </c>
    </row>
    <row customHeight="1" ht="11.25">
      <c r="A32" s="1301" t="s">
        <v>1593</v>
      </c>
      <c r="D32" s="1331" t="s">
        <v>1594</v>
      </c>
      <c r="E32" s="1332" t="str">
        <f>IF(TEMPLATE_GROUP="","",INDEX(StartDateList,MATCH(TEMPLATE_GROUP,CodeTemplateList,0),1))</f>
        <v>01.01.2024</v>
      </c>
      <c r="F32" s="1332" t="str">
        <f>IF(TEMPLATE_GROUP="","",INDEX(EndDateList,MATCH(TEMPLATE_GROUP,CodeTemplateList,0),1))</f>
        <v>31.12.2028</v>
      </c>
      <c r="H32" s="1337" t="s">
        <v>1595</v>
      </c>
      <c r="O32" s="1301" t="s">
        <v>1231</v>
      </c>
      <c r="AX32" s="1347" t="s">
        <v>1596</v>
      </c>
      <c r="AZ32" s="1347" t="s">
        <v>502</v>
      </c>
      <c r="BE32" s="1347">
        <v>2030</v>
      </c>
      <c r="BJ32" s="1295" t="s">
        <v>1482</v>
      </c>
      <c r="BL32" s="1295" t="s">
        <v>1482</v>
      </c>
    </row>
    <row customHeight="1" ht="11.25">
      <c r="A33" s="1301" t="s">
        <v>1597</v>
      </c>
      <c r="O33" s="1301" t="s">
        <v>1257</v>
      </c>
      <c r="AX33" s="1347" t="s">
        <v>1598</v>
      </c>
      <c r="AZ33" s="1347" t="s">
        <v>505</v>
      </c>
      <c r="BE33" s="1347">
        <v>2031</v>
      </c>
      <c r="BJ33" s="1295" t="s">
        <v>1489</v>
      </c>
      <c r="BL33" s="1295" t="s">
        <v>1489</v>
      </c>
    </row>
    <row customHeight="1" ht="11.25">
      <c r="A34" s="1301" t="s">
        <v>1599</v>
      </c>
      <c r="O34" s="1301" t="s">
        <v>1292</v>
      </c>
      <c r="AX34" s="1347" t="s">
        <v>1600</v>
      </c>
      <c r="BE34" s="1347">
        <v>2032</v>
      </c>
      <c r="BJ34" s="1295" t="s">
        <v>1500</v>
      </c>
      <c r="BL34" s="1295" t="s">
        <v>1500</v>
      </c>
    </row>
    <row customHeight="1" ht="11.25">
      <c r="A35" s="1301" t="s">
        <v>1601</v>
      </c>
      <c r="O35" s="1301" t="s">
        <v>1325</v>
      </c>
      <c r="AX35" s="1347" t="s">
        <v>1602</v>
      </c>
      <c r="AZ35" s="1294" t="s">
        <v>1603</v>
      </c>
      <c r="BE35" s="1347">
        <v>2033</v>
      </c>
      <c r="BL35" s="1295" t="s">
        <v>1604</v>
      </c>
    </row>
    <row customHeight="1" ht="11.25">
      <c r="A36" s="2097" t="s">
        <v>1605</v>
      </c>
      <c r="D36" s="1338" t="s">
        <v>1606</v>
      </c>
      <c r="E36" s="1339" t="s">
        <v>862</v>
      </c>
      <c r="F36" s="1340" t="str">
        <f>INDEX(E37:E41,MATCH(TEMPLATE_SPHERE,F37:F41,0))</f>
        <v>холодного водоснабжения</v>
      </c>
      <c r="G36" s="1340" t="str">
        <f>INDEX(G37:G41,MATCH(TEMPLATE_SPHERE,F37:F41,0))</f>
        <v>холодное водоснабжение</v>
      </c>
      <c r="O36" s="1301" t="s">
        <v>1349</v>
      </c>
      <c r="AX36" s="1347" t="s">
        <v>1607</v>
      </c>
      <c r="AZ36" s="1347" t="s">
        <v>505</v>
      </c>
      <c r="BE36" s="1347">
        <v>2034</v>
      </c>
      <c r="BL36" s="1295" t="s">
        <v>1608</v>
      </c>
    </row>
    <row customHeight="1" ht="11.25">
      <c r="A37" s="1301" t="s">
        <v>1609</v>
      </c>
      <c r="E37" s="634" t="s">
        <v>1610</v>
      </c>
      <c r="F37" s="1341" t="s">
        <v>816</v>
      </c>
      <c r="G37" s="634" t="s">
        <v>1611</v>
      </c>
      <c r="O37" s="1301" t="s">
        <v>1368</v>
      </c>
      <c r="AX37" s="1347" t="s">
        <v>1612</v>
      </c>
      <c r="AZ37" s="1347" t="s">
        <v>1258</v>
      </c>
      <c r="BE37" s="1347">
        <v>2035</v>
      </c>
    </row>
    <row customHeight="1" ht="11.25">
      <c r="A38" s="1301" t="s">
        <v>1613</v>
      </c>
      <c r="E38" s="634" t="s">
        <v>1614</v>
      </c>
      <c r="F38" s="1342" t="s">
        <v>862</v>
      </c>
      <c r="G38" s="634" t="s">
        <v>1615</v>
      </c>
      <c r="O38" s="1301" t="s">
        <v>1385</v>
      </c>
      <c r="AX38" s="1347" t="s">
        <v>1616</v>
      </c>
      <c r="AZ38" s="1347" t="s">
        <v>1293</v>
      </c>
      <c r="BE38" s="1347">
        <v>2036</v>
      </c>
      <c r="BH38" s="1294" t="s">
        <v>1617</v>
      </c>
      <c r="BJ38" s="1294" t="s">
        <v>1618</v>
      </c>
      <c r="BL38" s="1294" t="s">
        <v>1619</v>
      </c>
      <c r="BN38" s="1294" t="s">
        <v>1620</v>
      </c>
    </row>
    <row customHeight="1" ht="11.25">
      <c r="A39" s="1301" t="s">
        <v>1621</v>
      </c>
      <c r="E39" s="634" t="s">
        <v>1622</v>
      </c>
      <c r="F39" s="1342" t="s">
        <v>915</v>
      </c>
      <c r="G39" s="634" t="s">
        <v>1623</v>
      </c>
      <c r="O39" s="1301" t="s">
        <v>1401</v>
      </c>
      <c r="AX39" s="1347" t="s">
        <v>1624</v>
      </c>
      <c r="AZ39" s="1347" t="s">
        <v>1326</v>
      </c>
      <c r="BE39" s="1347">
        <v>2037</v>
      </c>
      <c r="BH39" s="1295" t="s">
        <v>1625</v>
      </c>
      <c r="BJ39" s="1444" t="s">
        <v>1625</v>
      </c>
      <c r="BL39" s="1444" t="s">
        <v>1625</v>
      </c>
      <c r="BN39" s="1295" t="s">
        <v>1626</v>
      </c>
    </row>
    <row customHeight="1" ht="11.25">
      <c r="A40" s="1301" t="s">
        <v>1627</v>
      </c>
      <c r="E40" s="634" t="s">
        <v>1628</v>
      </c>
      <c r="F40" s="1342" t="s">
        <v>902</v>
      </c>
      <c r="G40" s="634" t="s">
        <v>1629</v>
      </c>
      <c r="O40" s="1301" t="s">
        <v>1417</v>
      </c>
      <c r="AX40" s="1347" t="s">
        <v>1630</v>
      </c>
      <c r="BE40" s="1347">
        <v>2038</v>
      </c>
      <c r="BH40" s="1295" t="s">
        <v>1631</v>
      </c>
      <c r="BJ40" s="1444" t="s">
        <v>1035</v>
      </c>
      <c r="BL40" s="1444" t="s">
        <v>1035</v>
      </c>
      <c r="BN40" s="1295" t="s">
        <v>1069</v>
      </c>
    </row>
    <row customHeight="1" ht="11.25">
      <c r="A41" s="1301" t="s">
        <v>1632</v>
      </c>
      <c r="E41" s="634" t="s">
        <v>1633</v>
      </c>
      <c r="F41" s="1342" t="s">
        <v>1634</v>
      </c>
      <c r="G41" s="634" t="s">
        <v>1633</v>
      </c>
      <c r="O41" s="1301" t="s">
        <v>1433</v>
      </c>
      <c r="AX41" s="1347" t="s">
        <v>1635</v>
      </c>
      <c r="AZ41" s="1294" t="s">
        <v>1636</v>
      </c>
      <c r="BE41" s="1347">
        <v>2039</v>
      </c>
      <c r="BH41" s="1295" t="s">
        <v>1637</v>
      </c>
      <c r="BJ41" s="1444" t="s">
        <v>1031</v>
      </c>
      <c r="BL41" s="1444" t="s">
        <v>1031</v>
      </c>
      <c r="BN41" s="1295" t="s">
        <v>1056</v>
      </c>
    </row>
    <row customHeight="1" ht="11.25">
      <c r="A42" s="1301" t="s">
        <v>1638</v>
      </c>
      <c r="AX42" s="1347" t="s">
        <v>1639</v>
      </c>
      <c r="AZ42" s="1347" t="s">
        <v>1231</v>
      </c>
      <c r="BE42" s="1347">
        <v>2040</v>
      </c>
      <c r="BH42" s="1295" t="s">
        <v>1053</v>
      </c>
      <c r="BJ42" s="1444" t="s">
        <v>1033</v>
      </c>
      <c r="BL42" s="1444" t="s">
        <v>1033</v>
      </c>
      <c r="BN42" s="1295" t="s">
        <v>1640</v>
      </c>
    </row>
    <row customHeight="1" ht="11.25">
      <c r="A43" s="1301" t="s">
        <v>1641</v>
      </c>
      <c r="AX43" s="1347" t="s">
        <v>1642</v>
      </c>
      <c r="AZ43" s="1347" t="s">
        <v>1257</v>
      </c>
      <c r="BE43" s="1347">
        <v>2041</v>
      </c>
      <c r="BH43" s="1295" t="s">
        <v>1643</v>
      </c>
      <c r="BJ43" s="1444" t="s">
        <v>1637</v>
      </c>
      <c r="BL43" s="1444" t="s">
        <v>1637</v>
      </c>
      <c r="BN43" s="1295" t="s">
        <v>1644</v>
      </c>
    </row>
    <row customHeight="1" ht="11.25">
      <c r="A44" s="1301" t="s">
        <v>1645</v>
      </c>
      <c r="G44" s="1321">
        <f>YEAR(TODAY())</f>
        <v>2024</v>
      </c>
      <c r="I44" s="1026" t="s">
        <v>1646</v>
      </c>
      <c r="J44" s="1316" t="s">
        <v>1647</v>
      </c>
      <c r="K44" s="1316" t="s">
        <v>1648</v>
      </c>
      <c r="AX44" s="1347" t="s">
        <v>1649</v>
      </c>
      <c r="AZ44" s="1347" t="s">
        <v>1292</v>
      </c>
      <c r="BE44" s="1347">
        <v>2042</v>
      </c>
      <c r="BH44" s="1295" t="s">
        <v>1650</v>
      </c>
      <c r="BJ44" s="1444" t="s">
        <v>1053</v>
      </c>
      <c r="BL44" s="1444" t="s">
        <v>1053</v>
      </c>
      <c r="BN44" s="1295" t="s">
        <v>1651</v>
      </c>
    </row>
    <row customHeight="1" ht="11.25">
      <c r="A45" s="1301" t="s">
        <v>1652</v>
      </c>
      <c r="D45" s="1338" t="s">
        <v>1653</v>
      </c>
      <c r="E45" s="1339" t="s">
        <v>1654</v>
      </c>
      <c r="F45" s="1024" t="s">
        <v>1655</v>
      </c>
      <c r="G45" s="1023" t="s">
        <v>1656</v>
      </c>
      <c r="H45" s="1026" t="s">
        <v>1657</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1658</v>
      </c>
      <c r="AZ45" s="1347" t="s">
        <v>1325</v>
      </c>
      <c r="BE45" s="1347">
        <v>2043</v>
      </c>
      <c r="BH45" s="1295" t="s">
        <v>1659</v>
      </c>
      <c r="BJ45" s="1444" t="s">
        <v>1047</v>
      </c>
      <c r="BL45" s="1444" t="s">
        <v>1047</v>
      </c>
      <c r="BN45" s="1295" t="s">
        <v>1660</v>
      </c>
    </row>
    <row customHeight="1" ht="11.25">
      <c r="A46" s="1301" t="s">
        <v>1661</v>
      </c>
      <c r="E46" s="634" t="s">
        <v>26</v>
      </c>
      <c r="F46" s="1341" t="s">
        <v>1662</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(холодного водоснабжения)</v>
      </c>
      <c r="K46" s="1973"/>
      <c r="AX46" s="1347" t="s">
        <v>1663</v>
      </c>
      <c r="AZ46" s="1347" t="s">
        <v>1349</v>
      </c>
      <c r="BE46" s="1347">
        <v>2044</v>
      </c>
      <c r="BH46" s="1295" t="s">
        <v>1056</v>
      </c>
      <c r="BJ46" s="1444" t="s">
        <v>1037</v>
      </c>
      <c r="BL46" s="1444" t="s">
        <v>1037</v>
      </c>
      <c r="BN46" s="1295" t="s">
        <v>1664</v>
      </c>
    </row>
    <row customHeight="1" ht="11.25">
      <c r="A47" s="1301" t="s">
        <v>1665</v>
      </c>
      <c r="E47" s="634" t="s">
        <v>33</v>
      </c>
      <c r="F47" s="1342" t="s">
        <v>1666</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3"/>
      <c r="AX47" s="1347" t="s">
        <v>1667</v>
      </c>
      <c r="AZ47" s="1347" t="s">
        <v>1368</v>
      </c>
      <c r="BE47" s="1347">
        <v>2045</v>
      </c>
      <c r="BH47" s="1295" t="s">
        <v>1640</v>
      </c>
      <c r="BJ47" s="1444" t="s">
        <v>1039</v>
      </c>
      <c r="BL47" s="1444" t="s">
        <v>1039</v>
      </c>
      <c r="BN47" s="1295" t="s">
        <v>1668</v>
      </c>
    </row>
    <row customHeight="1" ht="11.25">
      <c r="A48" s="1301" t="s">
        <v>1669</v>
      </c>
      <c r="E48" s="634" t="s">
        <v>1670</v>
      </c>
      <c r="F48" s="1342" t="s">
        <v>1671</v>
      </c>
      <c r="G48" s="1343" t="str">
        <f>_xlfn.IFERROR(IF(f_year="","01.01."&amp;CURRENT_YEAR,"01.01."&amp;f_year),"01.01."&amp;CURRENT_YEAR)</f>
        <v>01.01.2024</v>
      </c>
      <c r="H48" s="1343" t="str">
        <f>_xlfn.IFERROR(IF(f_year="","31.12."&amp;CURRENT_YEAR,"31.12."&amp;f_year),"31.12."&amp;CURRENT_YEAR)</f>
        <v>31.12.2024</v>
      </c>
      <c r="I48" s="1969">
        <f>IF(f_year="",TRUE,FALSE)</f>
        <v>1</v>
      </c>
      <c r="J48" s="1972" t="s">
        <v>1672</v>
      </c>
      <c r="K48" s="1973"/>
      <c r="AX48" s="1347" t="s">
        <v>1673</v>
      </c>
      <c r="AZ48" s="1347" t="s">
        <v>1385</v>
      </c>
      <c r="BE48" s="1347">
        <v>2046</v>
      </c>
      <c r="BH48" s="1295" t="s">
        <v>1644</v>
      </c>
      <c r="BJ48" s="1444" t="s">
        <v>1041</v>
      </c>
      <c r="BL48" s="1444" t="s">
        <v>1041</v>
      </c>
      <c r="BN48" s="1295" t="s">
        <v>1674</v>
      </c>
    </row>
    <row customHeight="1" ht="11.25">
      <c r="A49" s="1301" t="s">
        <v>16</v>
      </c>
      <c r="E49" s="634" t="s">
        <v>1675</v>
      </c>
      <c r="F49" s="1342" t="s">
        <v>1676</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3"/>
      <c r="AX49" s="1347" t="s">
        <v>1677</v>
      </c>
      <c r="AZ49" s="1347" t="s">
        <v>1401</v>
      </c>
      <c r="BE49" s="1347">
        <v>2047</v>
      </c>
      <c r="BH49" s="1295" t="s">
        <v>1057</v>
      </c>
      <c r="BJ49" s="1444" t="s">
        <v>1043</v>
      </c>
      <c r="BL49" s="1444" t="s">
        <v>1043</v>
      </c>
    </row>
    <row customHeight="1" ht="11.25">
      <c r="A50" s="1301" t="s">
        <v>1678</v>
      </c>
      <c r="E50" s="634" t="s">
        <v>1679</v>
      </c>
      <c r="F50" s="1342" t="s">
        <v>1027</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3"/>
      <c r="AX50" s="1347" t="s">
        <v>1680</v>
      </c>
      <c r="AZ50" s="1347" t="s">
        <v>1417</v>
      </c>
      <c r="BE50" s="1347">
        <v>2048</v>
      </c>
      <c r="BH50" s="1295" t="s">
        <v>1651</v>
      </c>
      <c r="BJ50" s="1444" t="s">
        <v>1045</v>
      </c>
      <c r="BL50" s="1444" t="s">
        <v>1045</v>
      </c>
    </row>
    <row customHeight="1" ht="11.25">
      <c r="A51" s="1301" t="s">
        <v>1681</v>
      </c>
      <c r="E51" s="634" t="s">
        <v>1682</v>
      </c>
      <c r="F51" s="1342" t="s">
        <v>1654</v>
      </c>
      <c r="G51" s="1343" t="str">
        <f>_xlfn.IFERROR(IF(TITLE_PERIOD_START="","01.01."&amp;CURRENT_YEAR,"01.01."&amp;YEAR(TITLE_PERIOD_START)),"01.01."&amp;CURRENT_YEAR)</f>
        <v>01.01.2024</v>
      </c>
      <c r="H51" s="1343" t="str">
        <f>_xlfn.IFERROR(IF(TITLE_PERIOD_END="","31.12."&amp;CURRENT_YEAR,"31.12."&amp;YEAR(TITLE_PERIOD_END)),"31.12."&amp;CURRENT_YEAR)</f>
        <v>31.12.2028</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1683</v>
      </c>
      <c r="AZ51" s="1347" t="s">
        <v>1433</v>
      </c>
      <c r="BE51" s="1347">
        <v>2049</v>
      </c>
      <c r="BH51" s="1295" t="s">
        <v>1660</v>
      </c>
      <c r="BJ51" s="1444" t="s">
        <v>1684</v>
      </c>
      <c r="BL51" s="1444" t="s">
        <v>1684</v>
      </c>
    </row>
    <row customHeight="1" ht="11.25">
      <c r="A52" s="1301" t="s">
        <v>1685</v>
      </c>
      <c r="E52" s="634" t="s">
        <v>1686</v>
      </c>
      <c r="F52" s="1342" t="s">
        <v>1687</v>
      </c>
      <c r="G52" s="1343" t="str">
        <f>_xlfn.IFERROR(IF(TITLE_PERIOD_START="","01.01."&amp;CURRENT_YEAR,"01.01."&amp;YEAR(TITLE_PERIOD_START)),"01.01."&amp;CURRENT_YEAR)</f>
        <v>01.01.2024</v>
      </c>
      <c r="H52" s="1343" t="str">
        <f>_xlfn.IFERROR(IF(TITLE_PERIOD_END="","31.12."&amp;CURRENT_YEAR,"31.12."&amp;YEAR(TITLE_PERIOD_END)),"31.12."&amp;CURRENT_YEAR)</f>
        <v>31.12.2028</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3"/>
      <c r="AX52" s="1347" t="s">
        <v>1688</v>
      </c>
      <c r="AZ52" s="1347" t="s">
        <v>505</v>
      </c>
      <c r="BE52" s="1347">
        <v>2050</v>
      </c>
      <c r="BH52" s="1295" t="s">
        <v>1664</v>
      </c>
      <c r="BJ52" s="1444" t="s">
        <v>1056</v>
      </c>
      <c r="BL52" s="1444" t="s">
        <v>1056</v>
      </c>
    </row>
    <row customHeight="1" ht="11.25">
      <c r="A53" s="1301" t="s">
        <v>1689</v>
      </c>
      <c r="E53" s="634" t="s">
        <v>1690</v>
      </c>
      <c r="F53" s="1342" t="s">
        <v>1690</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1691</v>
      </c>
      <c r="K53" s="1973"/>
      <c r="AX53" s="1347" t="s">
        <v>1692</v>
      </c>
      <c r="BE53" s="1347">
        <v>2051</v>
      </c>
      <c r="BH53" s="1295" t="s">
        <v>1668</v>
      </c>
      <c r="BJ53" s="1444" t="s">
        <v>1640</v>
      </c>
      <c r="BL53" s="1444" t="s">
        <v>1640</v>
      </c>
    </row>
    <row customHeight="1" ht="11.25">
      <c r="A54" s="1301" t="s">
        <v>1693</v>
      </c>
      <c r="AX54" s="1347" t="s">
        <v>1694</v>
      </c>
      <c r="AZ54" s="1294" t="s">
        <v>1695</v>
      </c>
      <c r="BE54" s="1347">
        <v>2052</v>
      </c>
      <c r="BH54" s="1295" t="s">
        <v>1674</v>
      </c>
      <c r="BJ54" s="1444" t="s">
        <v>1644</v>
      </c>
      <c r="BL54" s="1444" t="s">
        <v>1644</v>
      </c>
    </row>
    <row customHeight="1" ht="11.25">
      <c r="A55" s="1301" t="s">
        <v>1696</v>
      </c>
      <c r="AX55" s="1347" t="s">
        <v>1697</v>
      </c>
      <c r="AZ55" s="1347" t="s">
        <v>1234</v>
      </c>
      <c r="BE55" s="1347">
        <v>2053</v>
      </c>
      <c r="BH55" s="1297" t="s">
        <v>28</v>
      </c>
      <c r="BJ55" s="1444" t="s">
        <v>1057</v>
      </c>
      <c r="BL55" s="1444" t="s">
        <v>1057</v>
      </c>
    </row>
    <row customHeight="1" ht="11.25">
      <c r="A56" s="1301" t="s">
        <v>1698</v>
      </c>
      <c r="D56" s="1345" t="s">
        <v>1699</v>
      </c>
      <c r="E56" s="1322" t="s">
        <v>111</v>
      </c>
      <c r="F56" s="1301" t="s">
        <v>1700</v>
      </c>
      <c r="AX56" s="1347" t="s">
        <v>1701</v>
      </c>
      <c r="AZ56" s="1347" t="s">
        <v>1260</v>
      </c>
      <c r="BE56" s="1347">
        <v>2054</v>
      </c>
      <c r="BH56" s="1297" t="s">
        <v>28</v>
      </c>
      <c r="BJ56" s="1444" t="s">
        <v>1651</v>
      </c>
      <c r="BL56" s="1444" t="s">
        <v>1651</v>
      </c>
    </row>
    <row customHeight="1" ht="11.25">
      <c r="A57" s="1301" t="s">
        <v>1702</v>
      </c>
      <c r="D57" s="1345" t="s">
        <v>1703</v>
      </c>
      <c r="E57" s="1322" t="s">
        <v>111</v>
      </c>
      <c r="F57" s="1301" t="s">
        <v>1700</v>
      </c>
      <c r="AX57" s="1347" t="s">
        <v>1704</v>
      </c>
      <c r="AZ57" s="1347" t="s">
        <v>1295</v>
      </c>
      <c r="BE57" s="1347">
        <v>2055</v>
      </c>
      <c r="BJ57" s="1444" t="s">
        <v>1660</v>
      </c>
      <c r="BL57" s="1444" t="s">
        <v>1660</v>
      </c>
    </row>
    <row customHeight="1" ht="11.25">
      <c r="A58" s="1301" t="s">
        <v>1705</v>
      </c>
      <c r="D58" s="1345" t="s">
        <v>1706</v>
      </c>
      <c r="E58" s="1322" t="s">
        <v>111</v>
      </c>
      <c r="F58" s="1301" t="s">
        <v>1700</v>
      </c>
      <c r="AX58" s="1347" t="s">
        <v>1707</v>
      </c>
      <c r="BE58" s="1347">
        <v>2056</v>
      </c>
      <c r="BJ58" s="1444" t="s">
        <v>1664</v>
      </c>
      <c r="BL58" s="1444" t="s">
        <v>1664</v>
      </c>
    </row>
    <row customHeight="1" ht="11.25">
      <c r="A59" s="1301" t="s">
        <v>1708</v>
      </c>
      <c r="D59" s="1345" t="s">
        <v>131</v>
      </c>
      <c r="E59" s="1322" t="s">
        <v>1596</v>
      </c>
      <c r="F59" s="1301" t="s">
        <v>1709</v>
      </c>
      <c r="AX59" s="1347" t="s">
        <v>1710</v>
      </c>
      <c r="AZ59" s="1294" t="s">
        <v>1711</v>
      </c>
      <c r="BE59" s="1347">
        <v>2057</v>
      </c>
      <c r="BJ59" s="1444" t="s">
        <v>1668</v>
      </c>
      <c r="BL59" s="1444" t="s">
        <v>1668</v>
      </c>
    </row>
    <row customHeight="1" ht="11.25">
      <c r="A60" s="1301" t="s">
        <v>1712</v>
      </c>
      <c r="D60" s="1345" t="s">
        <v>1713</v>
      </c>
      <c r="E60" s="1322" t="s">
        <v>1596</v>
      </c>
      <c r="F60" s="1301" t="s">
        <v>1709</v>
      </c>
      <c r="AX60" s="1347" t="s">
        <v>1714</v>
      </c>
      <c r="AZ60" s="1347" t="s">
        <v>1235</v>
      </c>
      <c r="BE60" s="1347">
        <v>2058</v>
      </c>
      <c r="BJ60" s="1444" t="s">
        <v>1674</v>
      </c>
      <c r="BL60" s="1444" t="s">
        <v>1674</v>
      </c>
    </row>
    <row customHeight="1" ht="11.25">
      <c r="A61" s="1301" t="s">
        <v>1715</v>
      </c>
      <c r="D61" s="1345" t="s">
        <v>1716</v>
      </c>
      <c r="E61" s="1322" t="s">
        <v>1596</v>
      </c>
      <c r="F61" s="1301" t="s">
        <v>1709</v>
      </c>
      <c r="AX61" s="1347" t="s">
        <v>1717</v>
      </c>
      <c r="AZ61" s="1347" t="s">
        <v>1261</v>
      </c>
      <c r="BE61" s="1347">
        <v>2059</v>
      </c>
      <c r="BL61" s="1444" t="s">
        <v>1049</v>
      </c>
    </row>
    <row customHeight="1" ht="11.25">
      <c r="A62" s="1301" t="s">
        <v>1718</v>
      </c>
      <c r="D62" s="1345" t="s">
        <v>130</v>
      </c>
      <c r="E62" s="1322">
        <v>30</v>
      </c>
      <c r="F62" s="1301" t="s">
        <v>1709</v>
      </c>
      <c r="AZ62" s="1347" t="s">
        <v>1296</v>
      </c>
      <c r="BE62" s="1347">
        <v>2060</v>
      </c>
      <c r="BL62" s="1444" t="s">
        <v>1051</v>
      </c>
    </row>
    <row customHeight="1" ht="11.25">
      <c r="A63" s="1301" t="s">
        <v>1719</v>
      </c>
      <c r="D63" s="1345" t="s">
        <v>1720</v>
      </c>
      <c r="E63" s="1322">
        <v>30</v>
      </c>
      <c r="F63" s="1301" t="s">
        <v>1709</v>
      </c>
      <c r="AZ63" s="1347" t="s">
        <v>1327</v>
      </c>
      <c r="BE63" s="1347">
        <v>2061</v>
      </c>
    </row>
    <row customHeight="1" ht="11.25">
      <c r="A64" s="1301" t="s">
        <v>1721</v>
      </c>
      <c r="D64" s="1345" t="s">
        <v>1722</v>
      </c>
      <c r="E64" s="1322">
        <v>30</v>
      </c>
      <c r="F64" s="1301" t="s">
        <v>1709</v>
      </c>
      <c r="AZ64" s="1347" t="s">
        <v>1350</v>
      </c>
      <c r="BE64" s="1347">
        <v>2062</v>
      </c>
    </row>
    <row customHeight="1" ht="11.25">
      <c r="A65" s="1301" t="s">
        <v>1723</v>
      </c>
      <c r="D65" s="1301"/>
      <c r="BE65" s="1347">
        <v>2063</v>
      </c>
    </row>
    <row customHeight="1" ht="11.25">
      <c r="A66" s="1301" t="s">
        <v>1724</v>
      </c>
      <c r="AZ66" s="1294" t="s">
        <v>1725</v>
      </c>
      <c r="BE66" s="1347">
        <v>2064</v>
      </c>
    </row>
    <row customHeight="1" ht="11.25">
      <c r="A67" s="1301" t="s">
        <v>1726</v>
      </c>
      <c r="AZ67" s="1347" t="s">
        <v>1236</v>
      </c>
      <c r="BE67" s="1347">
        <v>2065</v>
      </c>
    </row>
    <row customHeight="1" ht="11.25">
      <c r="A68" s="1301" t="s">
        <v>1727</v>
      </c>
      <c r="AZ68" s="1347" t="s">
        <v>1262</v>
      </c>
      <c r="BE68" s="1347">
        <v>2066</v>
      </c>
      <c r="BH68" s="1294" t="s">
        <v>1728</v>
      </c>
      <c r="BJ68" s="1294" t="s">
        <v>1729</v>
      </c>
      <c r="BL68" s="1294" t="s">
        <v>1730</v>
      </c>
      <c r="BN68" s="1294" t="s">
        <v>1731</v>
      </c>
    </row>
    <row customHeight="1" ht="11.25">
      <c r="A69" s="1301" t="s">
        <v>1732</v>
      </c>
      <c r="AZ69" s="1347" t="s">
        <v>1297</v>
      </c>
      <c r="BE69" s="1347">
        <v>2067</v>
      </c>
      <c r="BH69" s="1295" t="s">
        <v>1733</v>
      </c>
      <c r="BI69" s="1344" t="s">
        <v>109</v>
      </c>
      <c r="BJ69" s="1295" t="s">
        <v>1734</v>
      </c>
      <c r="BK69" s="1344" t="s">
        <v>109</v>
      </c>
      <c r="BL69" s="1295" t="s">
        <v>1735</v>
      </c>
      <c r="BM69" s="1297" t="s">
        <v>109</v>
      </c>
      <c r="BN69" s="1295" t="s">
        <v>1736</v>
      </c>
    </row>
    <row customHeight="1" ht="11.25">
      <c r="A70" s="1301" t="s">
        <v>1737</v>
      </c>
      <c r="AZ70" s="1347" t="s">
        <v>1328</v>
      </c>
      <c r="BE70" s="1347">
        <v>2068</v>
      </c>
      <c r="BH70" s="1295" t="s">
        <v>1738</v>
      </c>
      <c r="BJ70" s="1295" t="s">
        <v>1739</v>
      </c>
      <c r="BL70" s="1295" t="s">
        <v>1740</v>
      </c>
      <c r="BN70" s="1295" t="s">
        <v>1741</v>
      </c>
    </row>
    <row customHeight="1" ht="11.25">
      <c r="A71" s="1301" t="s">
        <v>1742</v>
      </c>
      <c r="AZ71" s="1347" t="s">
        <v>1330</v>
      </c>
      <c r="BE71" s="1347">
        <v>2069</v>
      </c>
      <c r="BH71" s="1295" t="s">
        <v>1743</v>
      </c>
      <c r="BI71" s="1344" t="s">
        <v>90</v>
      </c>
      <c r="BJ71" s="1295" t="s">
        <v>1744</v>
      </c>
      <c r="BK71" s="1344" t="s">
        <v>90</v>
      </c>
      <c r="BL71" s="1295" t="s">
        <v>1745</v>
      </c>
      <c r="BM71" s="1297" t="s">
        <v>90</v>
      </c>
      <c r="BN71" s="1295" t="s">
        <v>1746</v>
      </c>
    </row>
    <row customHeight="1" ht="11.25">
      <c r="A72" s="1301" t="s">
        <v>1747</v>
      </c>
      <c r="AZ72" s="1347" t="s">
        <v>19</v>
      </c>
      <c r="BE72" s="1347">
        <v>2070</v>
      </c>
      <c r="BH72" s="1295" t="s">
        <v>1748</v>
      </c>
      <c r="BJ72" s="1295" t="s">
        <v>1748</v>
      </c>
      <c r="BL72" s="1295" t="s">
        <v>1748</v>
      </c>
      <c r="BN72" s="1295" t="s">
        <v>1749</v>
      </c>
    </row>
    <row customHeight="1" ht="11.25">
      <c r="A73" s="1301" t="s">
        <v>1750</v>
      </c>
      <c r="BH73" s="1295" t="s">
        <v>1751</v>
      </c>
      <c r="BI73" s="1344" t="s">
        <v>111</v>
      </c>
      <c r="BJ73" s="1295" t="s">
        <v>1752</v>
      </c>
      <c r="BK73" s="1344" t="s">
        <v>111</v>
      </c>
      <c r="BL73" s="1295" t="s">
        <v>1753</v>
      </c>
      <c r="BM73" s="1297" t="s">
        <v>111</v>
      </c>
      <c r="BN73" s="1295" t="s">
        <v>1754</v>
      </c>
    </row>
    <row customHeight="1" ht="11.25">
      <c r="A74" s="1301" t="s">
        <v>1755</v>
      </c>
      <c r="BH74" s="1295" t="s">
        <v>1756</v>
      </c>
      <c r="BJ74" s="1295" t="s">
        <v>1757</v>
      </c>
      <c r="BL74" s="1295" t="s">
        <v>1758</v>
      </c>
      <c r="BN74" s="1295" t="s">
        <v>1759</v>
      </c>
    </row>
    <row customHeight="1" ht="11.25">
      <c r="A75" s="1301" t="s">
        <v>1760</v>
      </c>
      <c r="AZ75" s="1294" t="s">
        <v>1761</v>
      </c>
      <c r="BH75" s="1295" t="s">
        <v>1762</v>
      </c>
      <c r="BJ75" s="1295" t="s">
        <v>1762</v>
      </c>
      <c r="BL75" s="1295" t="s">
        <v>1762</v>
      </c>
    </row>
    <row customHeight="1" ht="11.25">
      <c r="A76" s="1301" t="s">
        <v>1763</v>
      </c>
      <c r="AZ76" s="1347" t="s">
        <v>1245</v>
      </c>
      <c r="BH76" s="1295" t="s">
        <v>1764</v>
      </c>
      <c r="BJ76" s="1295" t="s">
        <v>1765</v>
      </c>
      <c r="BL76" s="1295" t="s">
        <v>1766</v>
      </c>
    </row>
    <row customHeight="1" ht="11.25">
      <c r="A77" s="1301" t="s">
        <v>1767</v>
      </c>
      <c r="AZ77" s="1347" t="s">
        <v>1272</v>
      </c>
    </row>
    <row customHeight="1" ht="11.25">
      <c r="A78" s="1301" t="s">
        <v>1768</v>
      </c>
      <c r="AZ78" s="1347" t="s">
        <v>1304</v>
      </c>
    </row>
    <row customHeight="1" ht="11.25">
      <c r="A79" s="1301" t="s">
        <v>1769</v>
      </c>
      <c r="AZ79" s="1347" t="s">
        <v>1334</v>
      </c>
      <c r="BH79" s="1294" t="s">
        <v>1770</v>
      </c>
      <c r="BJ79" s="1294" t="s">
        <v>1771</v>
      </c>
      <c r="BL79" s="1294" t="s">
        <v>1772</v>
      </c>
    </row>
    <row customHeight="1" ht="11.25">
      <c r="A80" s="1301" t="s">
        <v>1773</v>
      </c>
      <c r="AZ80" s="1347" t="s">
        <v>1355</v>
      </c>
      <c r="BH80" s="1295" t="s">
        <v>1774</v>
      </c>
      <c r="BJ80" s="1295" t="s">
        <v>1775</v>
      </c>
      <c r="BL80" s="1295" t="s">
        <v>1776</v>
      </c>
    </row>
    <row customHeight="1" ht="11.25">
      <c r="A81" s="1301" t="s">
        <v>1777</v>
      </c>
      <c r="AZ81" s="1347" t="s">
        <v>1372</v>
      </c>
      <c r="BH81" s="1295" t="s">
        <v>1778</v>
      </c>
      <c r="BJ81" s="1295" t="s">
        <v>1779</v>
      </c>
      <c r="BL81" s="1295" t="s">
        <v>1780</v>
      </c>
    </row>
    <row customHeight="1" ht="11.25">
      <c r="A82" s="1301" t="s">
        <v>1781</v>
      </c>
      <c r="AZ82" s="1347" t="s">
        <v>1387</v>
      </c>
      <c r="BH82" s="1295" t="s">
        <v>1782</v>
      </c>
      <c r="BJ82" s="1295" t="s">
        <v>1783</v>
      </c>
      <c r="BL82" s="1295" t="s">
        <v>1784</v>
      </c>
    </row>
    <row customHeight="1" ht="11.25">
      <c r="A83" s="1301" t="s">
        <v>1785</v>
      </c>
      <c r="BH83" s="1295" t="s">
        <v>1786</v>
      </c>
      <c r="BJ83" s="1295" t="s">
        <v>1787</v>
      </c>
      <c r="BL83" s="1295" t="s">
        <v>1788</v>
      </c>
    </row>
    <row customHeight="1" ht="11.25">
      <c r="A84" s="1301" t="s">
        <v>1789</v>
      </c>
      <c r="AZ84" s="1294" t="s">
        <v>1790</v>
      </c>
    </row>
    <row customHeight="1" ht="11.25">
      <c r="A85" s="2097" t="s">
        <v>1791</v>
      </c>
      <c r="AZ85" s="1347" t="s">
        <v>1792</v>
      </c>
    </row>
    <row customHeight="1" ht="11.25">
      <c r="A86" s="1301" t="s">
        <v>1793</v>
      </c>
      <c r="AZ86" s="1347" t="s">
        <v>1794</v>
      </c>
      <c r="BH86" s="1294" t="s">
        <v>1795</v>
      </c>
      <c r="BJ86" s="1294" t="s">
        <v>1796</v>
      </c>
      <c r="BL86" s="1294" t="s">
        <v>1797</v>
      </c>
    </row>
    <row customHeight="1" ht="11.25">
      <c r="A87" s="1301" t="s">
        <v>1798</v>
      </c>
      <c r="AZ87" s="1347" t="s">
        <v>1799</v>
      </c>
      <c r="BH87" s="1295" t="s">
        <v>1800</v>
      </c>
      <c r="BJ87" s="1295" t="s">
        <v>1801</v>
      </c>
      <c r="BL87" s="1295" t="s">
        <v>1802</v>
      </c>
    </row>
    <row customHeight="1" ht="11.25">
      <c r="A88" s="1301" t="s">
        <v>1803</v>
      </c>
      <c r="AZ88" s="1833"/>
      <c r="BH88" s="1295" t="s">
        <v>1804</v>
      </c>
      <c r="BJ88" s="1295" t="s">
        <v>1805</v>
      </c>
      <c r="BL88" s="1295" t="s">
        <v>1806</v>
      </c>
    </row>
    <row customHeight="1" ht="11.25">
      <c r="A89" s="1301" t="s">
        <v>1807</v>
      </c>
      <c r="AZ89" s="1294" t="s">
        <v>1808</v>
      </c>
    </row>
    <row customHeight="1" ht="11.25">
      <c r="A90" s="1301" t="s">
        <v>1809</v>
      </c>
      <c r="AZ90" s="1347" t="s">
        <v>1027</v>
      </c>
    </row>
    <row customHeight="1" ht="11.25">
      <c r="A91" s="1301" t="s">
        <v>1810</v>
      </c>
      <c r="AZ91" s="1347" t="s">
        <v>1063</v>
      </c>
      <c r="BH91" s="1294" t="s">
        <v>1811</v>
      </c>
      <c r="BJ91" s="1294" t="s">
        <v>1812</v>
      </c>
      <c r="BL91" s="1294" t="s">
        <v>1813</v>
      </c>
    </row>
    <row customHeight="1" ht="11.25">
      <c r="AZ92" s="1347" t="s">
        <v>1814</v>
      </c>
      <c r="BH92" s="1295" t="s">
        <v>1815</v>
      </c>
      <c r="BJ92" s="1295" t="s">
        <v>1816</v>
      </c>
      <c r="BL92" s="1295" t="s">
        <v>1817</v>
      </c>
    </row>
    <row customHeight="1" ht="11.25">
      <c r="AZ93" s="1347" t="s">
        <v>1818</v>
      </c>
      <c r="BH93" s="1295" t="s">
        <v>1819</v>
      </c>
      <c r="BJ93" s="1295" t="s">
        <v>1820</v>
      </c>
      <c r="BL93" s="1295" t="s">
        <v>1821</v>
      </c>
    </row>
    <row customHeight="1" ht="11.25">
      <c r="AZ94" s="1347" t="s">
        <v>1822</v>
      </c>
    </row>
    <row r="96" customHeight="1" ht="11.25">
      <c r="AZ96" s="1294" t="s">
        <v>1823</v>
      </c>
      <c r="BH96" s="1294" t="s">
        <v>1824</v>
      </c>
      <c r="BJ96" s="1294" t="s">
        <v>1825</v>
      </c>
      <c r="BL96" s="1294" t="s">
        <v>1826</v>
      </c>
      <c r="BN96" s="1294" t="s">
        <v>1827</v>
      </c>
    </row>
    <row customHeight="1" ht="11.25">
      <c r="AZ97" s="2128" t="s">
        <v>1828</v>
      </c>
      <c r="BA97" s="2129" t="s">
        <v>1829</v>
      </c>
      <c r="BH97" s="1295" t="s">
        <v>1830</v>
      </c>
      <c r="BJ97" s="1295" t="s">
        <v>1831</v>
      </c>
      <c r="BL97" s="1295" t="s">
        <v>1832</v>
      </c>
      <c r="BN97" s="1295" t="s">
        <v>1833</v>
      </c>
    </row>
    <row customHeight="1" ht="11.25">
      <c r="AZ98" s="2128" t="s">
        <v>1834</v>
      </c>
      <c r="BA98" s="2129" t="s">
        <v>1835</v>
      </c>
      <c r="BH98" s="1295" t="s">
        <v>1836</v>
      </c>
      <c r="BJ98" s="1295" t="s">
        <v>1837</v>
      </c>
      <c r="BL98" s="1295" t="s">
        <v>1838</v>
      </c>
      <c r="BN98" s="1295" t="s">
        <v>1839</v>
      </c>
    </row>
    <row customHeight="1" ht="22.5">
      <c r="AZ99" s="2128" t="s">
        <v>1840</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1841</v>
      </c>
      <c r="BJ99" s="1295" t="s">
        <v>1842</v>
      </c>
      <c r="BL99" s="1295" t="s">
        <v>1843</v>
      </c>
      <c r="BN99" s="1295" t="s">
        <v>1844</v>
      </c>
    </row>
    <row customHeight="1" ht="22.5">
      <c r="AZ100" s="2128" t="s">
        <v>1845</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1433</v>
      </c>
      <c r="BL100" s="1295" t="s">
        <v>1433</v>
      </c>
      <c r="BN100" s="1295" t="s">
        <v>1846</v>
      </c>
    </row>
    <row customHeight="1" ht="22.5">
      <c r="AZ101" s="2128" t="s">
        <v>1847</v>
      </c>
      <c r="BA101" s="2129" t="s">
        <v>1848</v>
      </c>
      <c r="BN101" s="1295" t="s">
        <v>1849</v>
      </c>
    </row>
    <row customHeight="1" ht="22.5">
      <c r="AZ102" s="2128" t="s">
        <v>1850</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1851</v>
      </c>
    </row>
    <row customHeight="1" ht="11.25">
      <c r="AZ103" s="2128" t="s">
        <v>1852</v>
      </c>
      <c r="BA103" s="2129" t="s">
        <v>1853</v>
      </c>
      <c r="BN103" s="1295" t="s">
        <v>1854</v>
      </c>
    </row>
    <row customHeight="1" ht="11.25">
      <c r="BN104" s="1295" t="s">
        <v>1855</v>
      </c>
    </row>
    <row customHeight="1" ht="11.25">
      <c r="AZ105" s="1919" t="s">
        <v>1856</v>
      </c>
    </row>
    <row customHeight="1" ht="11.25">
      <c r="AZ106" s="1347" t="s">
        <v>1857</v>
      </c>
    </row>
    <row customHeight="1" ht="11.25">
      <c r="AZ107" s="1347" t="s">
        <v>1858</v>
      </c>
      <c r="BH107" s="1294" t="s">
        <v>1859</v>
      </c>
      <c r="BJ107" s="1294" t="s">
        <v>1860</v>
      </c>
      <c r="BL107" s="1294" t="s">
        <v>1861</v>
      </c>
      <c r="BN107" s="1294" t="s">
        <v>1862</v>
      </c>
    </row>
    <row customHeight="1" ht="11.25">
      <c r="AZ108" s="1347" t="s">
        <v>580</v>
      </c>
      <c r="BH108" s="1295" t="s">
        <v>1863</v>
      </c>
      <c r="BJ108" s="1295" t="s">
        <v>1864</v>
      </c>
      <c r="BL108" s="1295" t="s">
        <v>1519</v>
      </c>
      <c r="BN108" s="1295" t="s">
        <v>1865</v>
      </c>
    </row>
    <row customHeight="1" ht="11.25">
      <c r="BH109" s="1295" t="s">
        <v>1866</v>
      </c>
    </row>
    <row customHeight="1" ht="11.25">
      <c r="AZ110" s="1919" t="s">
        <v>1867</v>
      </c>
      <c r="BH110" s="1295" t="s">
        <v>1866</v>
      </c>
    </row>
    <row customHeight="1" ht="11.25">
      <c r="AZ111" s="2128" t="s">
        <v>1828</v>
      </c>
      <c r="BA111" s="2129" t="s">
        <v>1829</v>
      </c>
    </row>
    <row customHeight="1" ht="11.25">
      <c r="AZ112" s="2128" t="s">
        <v>1834</v>
      </c>
      <c r="BA112" s="2129" t="s">
        <v>1835</v>
      </c>
    </row>
    <row customHeight="1" ht="22.5">
      <c r="AZ113" s="2128" t="s">
        <v>1840</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1845</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1868</v>
      </c>
    </row>
    <row customHeight="1" ht="22.5">
      <c r="AZ115" s="2128" t="s">
        <v>1850</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505</v>
      </c>
    </row>
    <row customHeight="1" ht="11.25">
      <c r="AZ116" s="2128" t="s">
        <v>1852</v>
      </c>
      <c r="BA116" s="2129" t="s">
        <v>1853</v>
      </c>
      <c r="BH116" s="1295" t="s">
        <v>1258</v>
      </c>
    </row>
    <row customHeight="1" ht="11.25">
      <c r="BH117" s="1295" t="s">
        <v>1293</v>
      </c>
    </row>
    <row customHeight="1" ht="11.25">
      <c r="BH118" s="1295"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94187-D43D-3DB8-2267-23702B790D82}" mc:Ignorable="x14ac xr xr2 xr3">
  <dimension ref="A1:J25"/>
  <sheetViews>
    <sheetView topLeftCell="A1" showGridLines="0" zoomScale="90" workbookViewId="0">
      <selection activeCell="A1" sqref="A1"/>
    </sheetView>
  </sheetViews>
  <sheetFormatPr defaultColWidth="9.140625" customHeight="1" defaultRowHeight="11.25"/>
  <cols>
    <col min="1" max="2" style="13738" width="15.00390625" hidden="1" customWidth="1"/>
    <col min="3" max="3" style="13782" width="3.00390625" customWidth="1"/>
    <col min="4" max="4" style="13783" width="6.00390625" customWidth="1"/>
    <col min="5" max="5" style="13782" width="52.00390625" customWidth="1"/>
    <col min="6" max="6" style="13782" width="48.00390625" customWidth="1"/>
    <col min="7" max="7" style="13782" width="93.00390625" customWidth="1"/>
    <col min="8" max="8" style="13782" width="8.00390625" customWidth="1"/>
    <col min="9" max="9" style="13782" width="64.00390625" customWidth="1"/>
    <col min="10" max="10" style="13782" width="9.140625" hidden="1"/>
  </cols>
  <sheetData>
    <row customHeight="1" ht="11.25" hidden="1">
      <c r="A1" s="728" t="s">
        <v>304</v>
      </c>
      <c r="J1" s="682" t="s">
        <v>14</v>
      </c>
    </row>
    <row customHeight="1" ht="22.5" hidden="1">
      <c r="A2" s="729"/>
      <c r="B2" s="729"/>
      <c r="C2" s="1957" t="s">
        <v>491</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3696"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88</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МУП "Уссурийск-Водоканал"</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1869</v>
      </c>
      <c r="F13" s="1748" t="s">
        <v>311</v>
      </c>
      <c r="G13" s="701"/>
      <c r="H13" s="1760"/>
      <c r="J13" s="682">
        <v>19</v>
      </c>
    </row>
    <row customHeight="1" ht="19.95">
      <c r="A14" s="729"/>
      <c r="B14" s="729"/>
      <c r="C14" s="684"/>
      <c r="D14" s="1750" t="s">
        <v>717</v>
      </c>
      <c r="E14" s="1751" t="s">
        <v>1870</v>
      </c>
      <c r="F14" s="1753"/>
      <c r="G14" s="1752" t="s">
        <v>1871</v>
      </c>
      <c r="H14" s="1760"/>
      <c r="J14" s="682">
        <v>19</v>
      </c>
    </row>
    <row customHeight="1" ht="19.95">
      <c r="A15" s="729"/>
      <c r="B15" s="729"/>
      <c r="C15" s="684"/>
      <c r="D15" s="1750" t="s">
        <v>312</v>
      </c>
      <c r="E15" s="1751" t="s">
        <v>1872</v>
      </c>
      <c r="F15" s="1753"/>
      <c r="G15" s="1752" t="s">
        <v>1873</v>
      </c>
      <c r="H15" s="1760"/>
      <c r="J15" s="682">
        <v>19</v>
      </c>
    </row>
    <row customHeight="1" ht="24">
      <c r="A16" s="729"/>
      <c r="B16" s="729"/>
      <c r="C16" s="684"/>
      <c r="D16" s="1750" t="s">
        <v>315</v>
      </c>
      <c r="E16" s="1749" t="s">
        <v>1874</v>
      </c>
      <c r="F16" s="1758"/>
      <c r="G16" s="701" t="s">
        <v>1875</v>
      </c>
      <c r="H16" s="1760"/>
      <c r="J16" s="682">
        <v>23</v>
      </c>
    </row>
    <row customHeight="1" ht="48.29999999999999">
      <c r="A17" s="729"/>
      <c r="B17" s="729"/>
      <c r="C17" s="684"/>
      <c r="D17" s="1747">
        <v>3</v>
      </c>
      <c r="E17" s="1754" t="s">
        <v>1876</v>
      </c>
      <c r="F17" s="1753"/>
      <c r="G17" s="701" t="s">
        <v>1877</v>
      </c>
      <c r="H17" s="1760"/>
      <c r="J17" s="682">
        <v>46</v>
      </c>
    </row>
    <row customHeight="1" ht="48.29999999999999">
      <c r="A18" s="1702">
        <v>1</v>
      </c>
      <c r="B18" s="729"/>
      <c r="C18" s="1704"/>
      <c r="D18" s="1747" t="s">
        <v>91</v>
      </c>
      <c r="E18" s="1754" t="s">
        <v>1878</v>
      </c>
      <c r="F18" s="1753"/>
      <c r="G18" s="701" t="s">
        <v>1877</v>
      </c>
      <c r="H18" s="1760"/>
      <c r="I18" s="1079"/>
      <c r="J18" s="682">
        <v>46</v>
      </c>
    </row>
    <row customHeight="1" ht="23.25">
      <c r="A19" s="729"/>
      <c r="B19" s="729"/>
      <c r="C19" s="684"/>
      <c r="D19" s="1747" t="s">
        <v>111</v>
      </c>
      <c r="E19" s="1754" t="s">
        <v>1879</v>
      </c>
      <c r="F19" s="1748" t="s">
        <v>311</v>
      </c>
      <c r="G19" s="2698" t="s">
        <v>1880</v>
      </c>
      <c r="H19" s="702"/>
      <c r="J19" s="682">
        <v>22</v>
      </c>
    </row>
    <row s="15996" customFormat="1" customHeight="1" ht="5.25" hidden="1">
      <c r="A20" s="729"/>
      <c r="B20" s="729"/>
      <c r="C20" s="1756"/>
      <c r="D20" s="1755" t="s">
        <v>1124</v>
      </c>
      <c r="E20" s="1241"/>
      <c r="F20" s="1240"/>
      <c r="G20" s="2699"/>
      <c r="J20" s="1757">
        <v>0</v>
      </c>
    </row>
    <row customHeight="1" ht="15.75">
      <c r="A21" s="729"/>
      <c r="B21" s="729"/>
      <c r="C21" s="684"/>
      <c r="D21" s="694"/>
      <c r="E21" s="642" t="s">
        <v>344</v>
      </c>
      <c r="F21" s="696"/>
      <c r="G21" s="2700"/>
      <c r="H21" s="1760"/>
      <c r="J21" s="682">
        <v>15</v>
      </c>
    </row>
    <row s="13738" customFormat="1" customHeight="1" ht="26.25">
      <c r="A22" s="729"/>
      <c r="B22" s="729"/>
      <c r="C22" s="729"/>
      <c r="D22" s="1747" t="s">
        <v>92</v>
      </c>
      <c r="E22" s="701" t="s">
        <v>1881</v>
      </c>
      <c r="F22" s="1753"/>
      <c r="G22" s="701" t="s">
        <v>1882</v>
      </c>
      <c r="H22" s="1759"/>
      <c r="J22" s="728">
        <v>25</v>
      </c>
    </row>
    <row s="13738" customFormat="1" customHeight="1" ht="19.95">
      <c r="A23" s="729"/>
      <c r="B23" s="729"/>
      <c r="C23" s="729"/>
      <c r="D23" s="1747" t="s">
        <v>93</v>
      </c>
      <c r="E23" s="1754" t="s">
        <v>1883</v>
      </c>
      <c r="F23" s="1758"/>
      <c r="G23" s="701" t="s">
        <v>1884</v>
      </c>
      <c r="H23" s="1759"/>
      <c r="J23" s="728">
        <v>19</v>
      </c>
    </row>
    <row s="13738"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87E96-2EC9-5914-55C4-A94DF140435C}" mc:Ignorable="x14ac xr xr2 xr3">
  <dimension ref="A1:IU24"/>
  <sheetViews>
    <sheetView topLeftCell="A1" showGridLines="0" zoomScale="90" workbookViewId="0">
      <selection activeCell="A1" sqref="A1"/>
    </sheetView>
  </sheetViews>
  <sheetFormatPr defaultColWidth="9.140625" customHeight="1" defaultRowHeight="14.25"/>
  <cols>
    <col min="1" max="1" style="13141" width="9.140625" hidden="1"/>
    <col min="2" max="2" style="13221" width="9.140625" hidden="1"/>
    <col min="3" max="3" style="13141" width="3.7109375" hidden="1" customWidth="1"/>
    <col min="4" max="4" style="13310" width="3.00390625" customWidth="1"/>
    <col min="5" max="5" style="13141" width="6.00390625" customWidth="1"/>
    <col min="6" max="6" style="13141" width="46.00390625" customWidth="1"/>
    <col min="7" max="8" style="13141" width="16.00390625" customWidth="1"/>
    <col min="9" max="9" style="13141" width="35.00390625" customWidth="1"/>
    <col min="10" max="10" style="13141" width="89.00390625" customWidth="1"/>
    <col min="11" max="11" style="13311" width="3.00390625" customWidth="1"/>
    <col min="12" max="14" style="13311" width="8.00390625" customWidth="1"/>
    <col min="15" max="15" style="13311" width="25.00390625" customWidth="1"/>
    <col min="16" max="16" style="13311" width="14.00390625" customWidth="1"/>
    <col min="17" max="20" style="13312" width="8.00390625" customWidth="1"/>
    <col min="21" max="254" style="13141" width="8.00390625" customWidth="1"/>
    <col min="255" max="255" style="13141" width="9.140625" hidden="1"/>
  </cols>
  <sheetData>
    <row customHeight="1" ht="22.5" hidden="1">
      <c r="F1" s="1858" t="s">
        <v>1885</v>
      </c>
      <c r="G1" s="1858" t="s">
        <v>49</v>
      </c>
      <c r="H1" s="1858" t="s">
        <v>51</v>
      </c>
      <c r="IU1" s="1382" t="s">
        <v>14</v>
      </c>
    </row>
    <row s="13282" customFormat="1" customHeight="1" ht="22.5" hidden="1">
      <c r="A2" s="1058"/>
      <c r="B2" s="1387">
        <v>1</v>
      </c>
      <c r="C2" s="1387"/>
      <c r="D2" s="2155" t="s">
        <v>491</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3222"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3237"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3237"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3237"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3237"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3237" customFormat="1" customHeight="1" ht="21">
      <c r="A8" s="1382"/>
      <c r="B8" s="1387"/>
      <c r="C8" s="1382"/>
      <c r="D8" s="1722"/>
      <c r="E8" s="1775" t="s">
        <v>88</v>
      </c>
      <c r="F8" s="1767" t="s">
        <v>1885</v>
      </c>
      <c r="G8" s="1767" t="s">
        <v>49</v>
      </c>
      <c r="H8" s="1767" t="s">
        <v>51</v>
      </c>
      <c r="I8" s="1767" t="s">
        <v>1886</v>
      </c>
      <c r="J8" s="2702"/>
      <c r="K8" s="727"/>
      <c r="L8" s="727"/>
      <c r="M8" s="727"/>
      <c r="N8" s="727"/>
      <c r="O8" s="453"/>
      <c r="P8" s="727"/>
      <c r="Q8" s="452"/>
      <c r="R8" s="452"/>
      <c r="S8" s="452"/>
      <c r="T8" s="452"/>
      <c r="IU8" s="734">
        <v>20</v>
      </c>
    </row>
    <row s="13282"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3282" customFormat="1" customHeight="1" ht="15.75">
      <c r="A10" s="1858"/>
      <c r="B10" s="1387"/>
      <c r="C10" s="639"/>
      <c r="D10" s="1028"/>
      <c r="E10" s="1768"/>
      <c r="F10" s="1727" t="s">
        <v>1887</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3237"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3237"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3237"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3305" customFormat="1" customHeight="1" ht="10.5">
      <c r="B14" s="1061"/>
      <c r="D14" s="409"/>
      <c r="K14" s="727"/>
      <c r="L14" s="727"/>
      <c r="M14" s="727"/>
      <c r="N14" s="727"/>
      <c r="O14" s="453"/>
      <c r="P14" s="727"/>
      <c r="Q14" s="452"/>
      <c r="R14" s="452"/>
      <c r="S14" s="452"/>
      <c r="T14" s="452"/>
      <c r="IU14" s="408">
        <v>10</v>
      </c>
    </row>
    <row s="13305"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BE97A-3BB4-A65E-CD47-E5743171B6BB}" mc:Ignorable="x14ac xr xr2 xr3">
  <dimension ref="A1:IW15"/>
  <sheetViews>
    <sheetView topLeftCell="A1" showGridLines="0" zoomScale="90" workbookViewId="0">
      <selection activeCell="A1" sqref="A1"/>
    </sheetView>
  </sheetViews>
  <sheetFormatPr defaultColWidth="9.140625" customHeight="1" defaultRowHeight="14.25"/>
  <cols>
    <col min="1" max="1" style="13141" width="9.140625" hidden="1"/>
    <col min="2" max="2" style="13221" width="9.140625" hidden="1"/>
    <col min="3" max="3" style="13141" width="3.7109375" hidden="1" customWidth="1"/>
    <col min="4" max="4" style="13310" width="3.00390625" customWidth="1"/>
    <col min="5" max="5" style="13141" width="6.00390625" customWidth="1"/>
    <col min="6" max="6" style="13141" width="27.00390625" customWidth="1"/>
    <col min="7" max="7" style="13141" width="16.00390625" customWidth="1"/>
    <col min="8" max="8" style="13141" width="12.00390625" customWidth="1"/>
    <col min="9" max="9" style="13141" width="32.00390625" customWidth="1"/>
    <col min="10" max="11" style="13141" width="41.00390625" customWidth="1"/>
    <col min="12" max="12" style="13141" width="89.00390625" customWidth="1"/>
    <col min="13" max="13" style="13311" width="3.00390625" customWidth="1"/>
    <col min="14" max="16" style="13311" width="8.00390625" customWidth="1"/>
    <col min="17" max="17" style="13311" width="25.00390625" customWidth="1"/>
    <col min="18" max="18" style="13311" width="14.00390625" customWidth="1"/>
    <col min="19" max="22" style="13312" width="8.00390625" customWidth="1"/>
    <col min="23" max="256" style="13141" width="8.00390625" customWidth="1"/>
    <col min="257" max="257" style="13141" width="9.140625" hidden="1"/>
  </cols>
  <sheetData>
    <row customHeight="1" ht="22.5" hidden="1">
      <c r="IW1" s="1382" t="s">
        <v>14</v>
      </c>
    </row>
    <row s="13282" customFormat="1" customHeight="1" ht="22.5" hidden="1">
      <c r="A2" s="1058"/>
      <c r="B2" s="1387">
        <v>1</v>
      </c>
      <c r="C2" s="1387"/>
      <c r="D2" s="2155" t="s">
        <v>491</v>
      </c>
      <c r="E2" s="2116"/>
      <c r="F2" s="2119" t="str">
        <f>IF(ROIV_INFO_NAME="","",ROIV_INFO_NAME)</f>
        <v>МУП "Уссурийск-Водоканал"</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3222"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3237"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3237"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815"/>
      <c r="M5" s="474"/>
      <c r="N5" s="727"/>
      <c r="O5" s="727"/>
      <c r="P5" s="727"/>
      <c r="Q5" s="453"/>
      <c r="R5" s="727"/>
      <c r="S5" s="452"/>
      <c r="T5" s="452"/>
      <c r="U5" s="452"/>
      <c r="V5" s="452"/>
      <c r="IW5" s="734">
        <v>26</v>
      </c>
    </row>
    <row s="13237"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3237"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3237"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3237" customFormat="1" customHeight="1" ht="29.25">
      <c r="A9" s="1382"/>
      <c r="B9" s="1387"/>
      <c r="C9" s="1382"/>
      <c r="D9" s="1722"/>
      <c r="E9" s="2706"/>
      <c r="F9" s="2706"/>
      <c r="G9" s="1764" t="s">
        <v>1888</v>
      </c>
      <c r="H9" s="1764" t="s">
        <v>1889</v>
      </c>
      <c r="I9" s="1764" t="s">
        <v>1890</v>
      </c>
      <c r="J9" s="2706"/>
      <c r="K9" s="2706"/>
      <c r="L9" s="2702"/>
      <c r="M9" s="727"/>
      <c r="N9" s="727"/>
      <c r="O9" s="727"/>
      <c r="P9" s="727"/>
      <c r="Q9" s="453"/>
      <c r="R9" s="727"/>
      <c r="S9" s="452"/>
      <c r="T9" s="452"/>
      <c r="U9" s="452"/>
      <c r="V9" s="452"/>
      <c r="IW9" s="734">
        <v>28</v>
      </c>
    </row>
    <row s="13282" customFormat="1" customHeight="1" ht="23.25">
      <c r="A10" s="2326"/>
      <c r="B10" s="1387">
        <v>1</v>
      </c>
      <c r="C10" s="1387"/>
      <c r="D10" s="1027"/>
      <c r="E10" s="1025">
        <v>1</v>
      </c>
      <c r="F10" s="1766" t="str">
        <f>IF(ROIV_INFO_NAME="","",ROIV_INFO_NAME)</f>
        <v>МУП "Уссурийск-Водоканал"</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3282" customFormat="1" customHeight="1" ht="15.75">
      <c r="A11" s="2326"/>
      <c r="B11" s="1387"/>
      <c r="C11" s="639"/>
      <c r="D11" s="1028"/>
      <c r="E11" s="648"/>
      <c r="F11" s="643" t="s">
        <v>1891</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3237"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3237"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3237"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49BDB-9BD6-0584-9083-C99D2309FFD5}" mc:Ignorable="x14ac xr xr2 xr3">
  <dimension ref="A1:IW15"/>
  <sheetViews>
    <sheetView topLeftCell="A1" showGridLines="0" zoomScale="90" workbookViewId="0">
      <selection activeCell="A1" sqref="A1"/>
    </sheetView>
  </sheetViews>
  <sheetFormatPr defaultColWidth="9.140625" customHeight="1" defaultRowHeight="14.25"/>
  <cols>
    <col min="1" max="1" style="13141" width="9.140625" hidden="1"/>
    <col min="2" max="2" style="13221" width="9.140625" hidden="1"/>
    <col min="3" max="3" style="13141" width="3.7109375" hidden="1" customWidth="1"/>
    <col min="4" max="4" style="13310" width="3.00390625" customWidth="1"/>
    <col min="5" max="5" style="13141" width="6.00390625" customWidth="1"/>
    <col min="6" max="6" style="13141" width="27.00390625" customWidth="1"/>
    <col min="7" max="7" style="13141" width="16.00390625" customWidth="1"/>
    <col min="8" max="8" style="13141" width="12.00390625" customWidth="1"/>
    <col min="9" max="9" style="13141" width="32.00390625" customWidth="1"/>
    <col min="10" max="11" style="13141" width="41.00390625" customWidth="1"/>
    <col min="12" max="12" style="13141" width="89.00390625" customWidth="1"/>
    <col min="13" max="13" style="13311" width="3.00390625" customWidth="1"/>
    <col min="14" max="16" style="13311" width="8.00390625" customWidth="1"/>
    <col min="17" max="17" style="13311" width="25.00390625" customWidth="1"/>
    <col min="18" max="18" style="13311" width="14.00390625" customWidth="1"/>
    <col min="19" max="22" style="13312" width="8.00390625" customWidth="1"/>
    <col min="23" max="256" style="13141" width="8.00390625" customWidth="1"/>
    <col min="257" max="257" style="13141" width="9.140625" hidden="1"/>
  </cols>
  <sheetData>
    <row customHeight="1" ht="22.5" hidden="1">
      <c r="IW1" s="1858" t="s">
        <v>14</v>
      </c>
    </row>
    <row s="13282" customFormat="1" customHeight="1" ht="22.5" hidden="1">
      <c r="A2" s="1058"/>
      <c r="B2" s="1593">
        <v>1</v>
      </c>
      <c r="C2" s="1593"/>
      <c r="D2" s="2155" t="s">
        <v>491</v>
      </c>
      <c r="E2" s="2131"/>
      <c r="F2" s="2133" t="str">
        <f>IF(ROIV_INFO_NAME="","",ROIV_INFO_NAME)</f>
        <v>МУП "Уссурийск-Водоканал"</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3222"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3237"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3237"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1862"/>
      <c r="M5" s="475"/>
      <c r="N5" s="1851"/>
      <c r="O5" s="1851"/>
      <c r="P5" s="1851"/>
      <c r="Q5" s="1851"/>
      <c r="R5" s="1851"/>
      <c r="S5" s="452"/>
      <c r="T5" s="452"/>
      <c r="U5" s="452"/>
      <c r="V5" s="452"/>
      <c r="IW5" s="1836">
        <v>26</v>
      </c>
    </row>
    <row s="13237"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3237"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3237" customFormat="1" customHeight="1" ht="67.2">
      <c r="A8" s="1858"/>
      <c r="B8" s="1593"/>
      <c r="C8" s="1858"/>
      <c r="D8" s="1742"/>
      <c r="E8" s="2705" t="s">
        <v>88</v>
      </c>
      <c r="F8" s="2705" t="s">
        <v>1892</v>
      </c>
      <c r="G8" s="2707" t="s">
        <v>1893</v>
      </c>
      <c r="H8" s="2708"/>
      <c r="I8" s="2709"/>
      <c r="J8" s="2705" t="s">
        <v>1894</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3237" customFormat="1" customHeight="1" ht="29.25">
      <c r="A9" s="1858"/>
      <c r="B9" s="1593"/>
      <c r="C9" s="1858"/>
      <c r="D9" s="1742"/>
      <c r="E9" s="2706"/>
      <c r="F9" s="2706"/>
      <c r="G9" s="2121" t="s">
        <v>1888</v>
      </c>
      <c r="H9" s="2121" t="s">
        <v>1889</v>
      </c>
      <c r="I9" s="2121" t="s">
        <v>1890</v>
      </c>
      <c r="J9" s="2706"/>
      <c r="K9" s="2706"/>
      <c r="L9" s="2702"/>
      <c r="M9" s="1851"/>
      <c r="N9" s="1851"/>
      <c r="O9" s="1851"/>
      <c r="P9" s="1851"/>
      <c r="Q9" s="1851"/>
      <c r="R9" s="1851"/>
      <c r="S9" s="452"/>
      <c r="T9" s="452"/>
      <c r="U9" s="452"/>
      <c r="V9" s="452"/>
      <c r="IW9" s="1836">
        <v>28</v>
      </c>
    </row>
    <row s="13282" customFormat="1" customHeight="1" ht="1.05">
      <c r="A10" s="2326"/>
      <c r="B10" s="1593">
        <v>1</v>
      </c>
      <c r="C10" s="1593"/>
      <c r="D10" s="1027"/>
      <c r="E10" s="1022">
        <v>0</v>
      </c>
      <c r="F10" s="2118" t="str">
        <f>IF(ROIV_INFO_NAME="","",ROIV_INFO_NAME)</f>
        <v>МУП "Уссурийск-Водоканал"</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3282" customFormat="1" customHeight="1" ht="15.75">
      <c r="A11" s="2326"/>
      <c r="B11" s="1593"/>
      <c r="C11" s="639"/>
      <c r="D11" s="1028"/>
      <c r="E11" s="648"/>
      <c r="F11" s="878" t="s">
        <v>1891</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3237"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3237"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3237"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1FF3B-DEBC-AF66-823D-7048DB488ED1}" mc:Ignorable="x14ac xr xr2 xr3">
  <dimension ref="A1:Q19"/>
  <sheetViews>
    <sheetView topLeftCell="A1" showGridLines="0" zoomScale="90" workbookViewId="0">
      <selection activeCell="A1" sqref="A1"/>
    </sheetView>
  </sheetViews>
  <sheetFormatPr defaultColWidth="9.140625" customHeight="1" defaultRowHeight="14.25"/>
  <cols>
    <col min="1" max="1" style="13141" width="9.140625" hidden="1"/>
    <col min="2" max="2" style="13221" width="9.140625" hidden="1"/>
    <col min="3" max="3" style="13141" width="3.7109375" hidden="1" customWidth="1"/>
    <col min="4" max="4" style="13310" width="3.00390625" customWidth="1"/>
    <col min="5" max="5" style="13141" width="6.00390625" customWidth="1"/>
    <col min="6" max="6" style="13141" width="27.00390625" customWidth="1"/>
    <col min="7" max="7" style="13141" width="29.00390625" customWidth="1"/>
    <col min="8" max="8" style="13141" width="25.00390625" customWidth="1"/>
    <col min="9" max="9" style="13141" width="5.00390625" customWidth="1"/>
    <col min="10" max="10" style="13141" width="6.00390625" customWidth="1"/>
    <col min="11" max="11" style="13141" width="41.00390625" customWidth="1"/>
    <col min="12" max="12" style="13141" width="42.00390625" customWidth="1"/>
    <col min="13" max="13" style="13141" width="41.00390625" customWidth="1"/>
    <col min="14" max="14" style="13141" width="89.00390625" customWidth="1"/>
    <col min="15" max="15" style="13311" width="3.00390625" customWidth="1"/>
    <col min="16" max="16" style="13311" width="8.00390625" customWidth="1"/>
    <col min="17" max="17" style="13141" width="9.140625" hidden="1"/>
  </cols>
  <sheetData>
    <row customHeight="1" ht="22.5" hidden="1">
      <c r="Q1" s="1382" t="s">
        <v>14</v>
      </c>
    </row>
    <row s="13282" customFormat="1" customHeight="1" ht="22.5" hidden="1">
      <c r="A2" s="723"/>
      <c r="B2" s="1387">
        <v>1</v>
      </c>
      <c r="C2" s="1387"/>
      <c r="D2" s="2155" t="s">
        <v>491</v>
      </c>
      <c r="E2" s="2354">
        <v>1</v>
      </c>
      <c r="F2" s="2530" t="str">
        <f>IF(region_name="","",region_name)</f>
        <v>Приморский край</v>
      </c>
      <c r="G2" s="2710"/>
      <c r="H2" s="2711"/>
      <c r="I2" s="701"/>
      <c r="J2" s="2137">
        <v>1</v>
      </c>
      <c r="K2" s="2139"/>
      <c r="L2" s="2139"/>
      <c r="M2" s="2139"/>
      <c r="N2" s="719"/>
      <c r="O2" s="1762"/>
      <c r="P2" s="738"/>
      <c r="Q2" s="650">
        <v>0</v>
      </c>
    </row>
    <row s="13282" customFormat="1" customHeight="1" ht="22.5" hidden="1">
      <c r="A3" s="1058"/>
      <c r="B3" s="1387"/>
      <c r="C3" s="1387"/>
      <c r="D3" s="1028"/>
      <c r="E3" s="2354"/>
      <c r="F3" s="2530"/>
      <c r="G3" s="2710"/>
      <c r="H3" s="2712"/>
      <c r="I3" s="648"/>
      <c r="J3" s="1727"/>
      <c r="K3" s="1727" t="s">
        <v>1895</v>
      </c>
      <c r="L3" s="1770"/>
      <c r="M3" s="2147"/>
      <c r="N3" s="2140"/>
      <c r="O3" s="1762"/>
      <c r="P3" s="738"/>
      <c r="Q3" s="650">
        <v>0</v>
      </c>
    </row>
    <row s="13222" customFormat="1" customHeight="1" ht="5.25" hidden="1">
      <c r="A4" s="723"/>
      <c r="D4" s="721"/>
      <c r="F4" s="474" t="s">
        <v>83</v>
      </c>
      <c r="G4" s="721" t="s">
        <v>84</v>
      </c>
      <c r="H4" s="721"/>
      <c r="I4" s="2150"/>
      <c r="J4" s="1771"/>
      <c r="K4" s="2138"/>
      <c r="L4" s="2138"/>
      <c r="M4" s="2138"/>
      <c r="N4" s="2134"/>
      <c r="O4" s="474" t="s">
        <v>83</v>
      </c>
      <c r="P4" s="474"/>
      <c r="Q4" s="738">
        <v>0</v>
      </c>
    </row>
    <row s="13282" customFormat="1" customHeight="1" ht="22.5" hidden="1">
      <c r="A5" s="1868"/>
      <c r="B5" s="1593">
        <v>1</v>
      </c>
      <c r="C5" s="1593"/>
      <c r="D5" s="1028"/>
      <c r="E5" s="2140"/>
      <c r="F5" s="2140"/>
      <c r="G5" s="2140"/>
      <c r="H5" s="2151"/>
      <c r="I5" s="2156" t="s">
        <v>491</v>
      </c>
      <c r="J5" s="2149">
        <v>1</v>
      </c>
      <c r="K5" s="2139"/>
      <c r="L5" s="2139"/>
      <c r="M5" s="2139"/>
      <c r="N5" s="719"/>
      <c r="O5" s="1762"/>
      <c r="P5" s="1863"/>
      <c r="Q5" s="851">
        <v>0</v>
      </c>
    </row>
    <row s="13237" customFormat="1" customHeight="1" ht="14.699999999999998">
      <c r="A6" s="1382"/>
      <c r="B6" s="1387"/>
      <c r="C6" s="1382"/>
      <c r="D6" s="1722"/>
      <c r="E6" s="736"/>
      <c r="F6" s="736"/>
      <c r="G6" s="736"/>
      <c r="H6" s="736"/>
      <c r="I6" s="736"/>
      <c r="J6" s="736"/>
      <c r="K6" s="736"/>
      <c r="L6" s="736"/>
      <c r="M6" s="736"/>
      <c r="N6" s="1862"/>
      <c r="O6" s="474"/>
      <c r="P6" s="727"/>
      <c r="Q6" s="734">
        <v>14</v>
      </c>
    </row>
    <row s="13237"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3237" customFormat="1" customHeight="1" ht="14.699999999999998">
      <c r="A8" s="1382"/>
      <c r="B8" s="1387"/>
      <c r="C8" s="1382"/>
      <c r="D8" s="1722"/>
      <c r="E8" s="736"/>
      <c r="F8" s="394"/>
      <c r="G8" s="394"/>
      <c r="H8" s="394"/>
      <c r="I8" s="394"/>
      <c r="J8" s="394"/>
      <c r="K8" s="394"/>
      <c r="L8" s="394"/>
      <c r="M8" s="394"/>
      <c r="N8" s="843"/>
      <c r="O8" s="727"/>
      <c r="P8" s="727"/>
      <c r="Q8" s="734">
        <v>14</v>
      </c>
    </row>
    <row s="16063" customFormat="1" customHeight="1" ht="14.25" hidden="1">
      <c r="A9" s="1695"/>
      <c r="B9" s="1705"/>
      <c r="C9" s="1695"/>
      <c r="D9" s="1722"/>
      <c r="E9" s="2141"/>
      <c r="F9" s="2141"/>
      <c r="G9" s="2141"/>
      <c r="H9" s="2141"/>
      <c r="I9" s="2720"/>
      <c r="J9" s="2720"/>
      <c r="K9" s="2720"/>
      <c r="L9" s="2141"/>
      <c r="M9" s="2142"/>
      <c r="O9" s="1772"/>
      <c r="P9" s="1772"/>
      <c r="Q9" s="1773">
        <v>0</v>
      </c>
    </row>
    <row s="13237"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3237" customFormat="1" customHeight="1" ht="44.25">
      <c r="A11" s="1858"/>
      <c r="B11" s="1593"/>
      <c r="C11" s="1858"/>
      <c r="D11" s="1742"/>
      <c r="E11" s="2719" t="s">
        <v>88</v>
      </c>
      <c r="F11" s="2719" t="s">
        <v>309</v>
      </c>
      <c r="G11" s="2719" t="s">
        <v>1896</v>
      </c>
      <c r="H11" s="2719"/>
      <c r="I11" s="2719" t="s">
        <v>1897</v>
      </c>
      <c r="J11" s="2719"/>
      <c r="K11" s="2719"/>
      <c r="L11" s="2719" t="s">
        <v>1898</v>
      </c>
      <c r="M11" s="2707" t="s">
        <v>1899</v>
      </c>
      <c r="N11" s="2718"/>
      <c r="O11" s="1851"/>
      <c r="P11" s="1851"/>
      <c r="Q11" s="1836">
        <v>42</v>
      </c>
    </row>
    <row s="13237" customFormat="1" customHeight="1" ht="29.25">
      <c r="A12" s="1382"/>
      <c r="B12" s="1387"/>
      <c r="C12" s="1382"/>
      <c r="D12" s="1722"/>
      <c r="E12" s="2705"/>
      <c r="F12" s="2719"/>
      <c r="G12" s="2136" t="s">
        <v>1900</v>
      </c>
      <c r="H12" s="2136" t="s">
        <v>313</v>
      </c>
      <c r="I12" s="2719"/>
      <c r="J12" s="2719"/>
      <c r="K12" s="2719"/>
      <c r="L12" s="2719"/>
      <c r="M12" s="2707"/>
      <c r="N12" s="2706"/>
      <c r="O12" s="727"/>
      <c r="P12" s="727"/>
      <c r="Q12" s="734">
        <v>28</v>
      </c>
    </row>
    <row s="13282"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1901</v>
      </c>
      <c r="O13" s="1762"/>
      <c r="P13" s="738"/>
      <c r="Q13" s="650">
        <v>22</v>
      </c>
    </row>
    <row s="13282" customFormat="1" customHeight="1" ht="23.25">
      <c r="A14" s="2326"/>
      <c r="B14" s="1387"/>
      <c r="C14" s="1387"/>
      <c r="D14" s="1028"/>
      <c r="E14" s="2354"/>
      <c r="F14" s="2713"/>
      <c r="G14" s="2714"/>
      <c r="H14" s="2722"/>
      <c r="I14" s="648"/>
      <c r="J14" s="1727"/>
      <c r="K14" s="1727" t="s">
        <v>1895</v>
      </c>
      <c r="L14" s="1770"/>
      <c r="M14" s="1770"/>
      <c r="N14" s="2716"/>
      <c r="O14" s="1762"/>
      <c r="P14" s="738"/>
      <c r="Q14" s="650">
        <v>22</v>
      </c>
    </row>
    <row s="13282" customFormat="1" customHeight="1" ht="23.25">
      <c r="A15" s="2326"/>
      <c r="B15" s="1387"/>
      <c r="C15" s="639"/>
      <c r="D15" s="1028"/>
      <c r="E15" s="648"/>
      <c r="F15" s="1727" t="s">
        <v>1887</v>
      </c>
      <c r="G15" s="1769"/>
      <c r="H15" s="1769"/>
      <c r="I15" s="414"/>
      <c r="J15" s="414"/>
      <c r="K15" s="414"/>
      <c r="L15" s="414"/>
      <c r="M15" s="414"/>
      <c r="N15" s="2716"/>
      <c r="O15" s="1763"/>
      <c r="P15" s="738"/>
      <c r="Q15" s="650">
        <v>22</v>
      </c>
    </row>
    <row s="13237" customFormat="1" customHeight="1" ht="22.049999999999997">
      <c r="A16" s="1382"/>
      <c r="B16" s="1387"/>
      <c r="C16" s="1382"/>
      <c r="D16" s="678"/>
      <c r="E16" s="407"/>
      <c r="F16" s="407"/>
      <c r="G16" s="407"/>
      <c r="H16" s="407"/>
      <c r="I16" s="407"/>
      <c r="J16" s="407"/>
      <c r="K16" s="407"/>
      <c r="L16" s="407"/>
      <c r="M16" s="736"/>
      <c r="N16" s="1862"/>
      <c r="O16" s="727"/>
      <c r="P16" s="727"/>
      <c r="Q16" s="734">
        <v>21</v>
      </c>
    </row>
    <row s="13237"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3237"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EBA6F-F0F1-11C6-2396-64B732F25C9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3693" width="9.140625" hidden="1"/>
    <col min="2" max="2" style="15802" width="9.140625" hidden="1"/>
    <col min="3" max="3" style="16103" width="3.00390625" customWidth="1"/>
    <col min="4" max="4" style="15802" width="6.00390625" customWidth="1"/>
    <col min="5" max="5" style="15802" width="22.00390625" customWidth="1"/>
    <col min="6" max="6" style="15802" width="15.00390625" customWidth="1"/>
    <col min="7" max="7" style="15802" width="14.00390625" customWidth="1"/>
    <col min="8" max="8" style="15802" width="47.00390625" customWidth="1"/>
    <col min="9" max="9" style="15802" width="115.00390625" customWidth="1"/>
    <col min="10" max="10" style="15802" width="3.00390625" customWidth="1"/>
    <col min="11" max="12" style="15802" width="8.00390625" customWidth="1"/>
    <col min="13" max="13" style="15802" width="9.140625" hidden="1"/>
  </cols>
  <sheetData>
    <row customHeight="1" ht="14.25" hidden="1">
      <c r="M1" s="348" t="s">
        <v>14</v>
      </c>
    </row>
    <row customHeight="1" ht="14.25" hidden="1">
      <c r="M2" s="348">
        <v>0</v>
      </c>
    </row>
    <row customHeight="1" ht="14.25" hidden="1">
      <c r="M3" s="348">
        <v>0</v>
      </c>
    </row>
    <row customHeight="1" ht="3">
      <c r="M4" s="348">
        <v>3</v>
      </c>
    </row>
    <row s="13141" customFormat="1" customHeight="1" ht="31.5">
      <c r="A5" s="342"/>
      <c r="C5" s="317"/>
      <c r="D5" s="2327" t="s">
        <v>1902</v>
      </c>
      <c r="E5" s="2327"/>
      <c r="F5" s="2327"/>
      <c r="G5" s="2327"/>
      <c r="H5" s="2327"/>
      <c r="I5" s="492"/>
      <c r="M5" s="310">
        <v>30</v>
      </c>
    </row>
    <row customHeight="1" ht="3" hidden="1">
      <c r="D6" s="349"/>
      <c r="E6" s="349"/>
      <c r="F6" s="349"/>
      <c r="G6" s="349"/>
      <c r="H6" s="349"/>
      <c r="I6" s="349"/>
      <c r="M6" s="348">
        <v>0</v>
      </c>
    </row>
    <row s="13693"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88</v>
      </c>
      <c r="E9" s="2436" t="s">
        <v>1903</v>
      </c>
      <c r="F9" s="2436"/>
      <c r="G9" s="2436"/>
      <c r="H9" s="2436"/>
      <c r="I9" s="2436"/>
      <c r="M9" s="348">
        <v>28</v>
      </c>
    </row>
    <row customHeight="1" ht="24">
      <c r="D10" s="2436"/>
      <c r="E10" s="354" t="s">
        <v>1904</v>
      </c>
      <c r="F10" s="354" t="s">
        <v>1905</v>
      </c>
      <c r="G10" s="354" t="s">
        <v>1906</v>
      </c>
      <c r="H10" s="354" t="s">
        <v>395</v>
      </c>
      <c r="I10" s="2436"/>
      <c r="M10" s="348">
        <v>23</v>
      </c>
    </row>
    <row customHeight="1" ht="12" hidden="1">
      <c r="D11" s="314" t="s">
        <v>109</v>
      </c>
      <c r="E11" s="314" t="s">
        <v>91</v>
      </c>
      <c r="F11" s="314" t="s">
        <v>111</v>
      </c>
      <c r="G11" s="314" t="s">
        <v>92</v>
      </c>
      <c r="H11" s="314" t="s">
        <v>93</v>
      </c>
      <c r="I11" s="314" t="s">
        <v>112</v>
      </c>
      <c r="M11" s="348">
        <v>0</v>
      </c>
    </row>
    <row s="15802" customFormat="1" customHeight="1" ht="26.25">
      <c r="A12" s="372" t="s">
        <v>90</v>
      </c>
      <c r="B12" s="352" t="s">
        <v>28</v>
      </c>
      <c r="C12" s="353"/>
      <c r="D12" s="355" t="s">
        <v>109</v>
      </c>
      <c r="E12" s="608"/>
      <c r="F12" s="608"/>
      <c r="G12" s="1961" t="s">
        <v>28</v>
      </c>
      <c r="H12" s="609"/>
      <c r="I12" s="2396" t="s">
        <v>1907</v>
      </c>
      <c r="K12" s="499"/>
      <c r="L12" s="500"/>
      <c r="M12" s="344">
        <v>25</v>
      </c>
    </row>
    <row customHeight="1" ht="15.75">
      <c r="A13" s="348"/>
      <c r="B13" s="348"/>
      <c r="C13" s="348"/>
      <c r="D13" s="336"/>
      <c r="E13" s="357" t="s">
        <v>470</v>
      </c>
      <c r="F13" s="356"/>
      <c r="G13" s="356"/>
      <c r="H13" s="441"/>
      <c r="I13" s="2398"/>
      <c r="M13" s="348">
        <v>15</v>
      </c>
    </row>
    <row customHeight="1" ht="3">
      <c r="A14" s="348"/>
      <c r="B14" s="348"/>
      <c r="C14" s="348"/>
      <c r="M14" s="348">
        <v>3</v>
      </c>
    </row>
    <row customHeight="1" ht="29.25">
      <c r="E15" s="2723" t="s">
        <v>1908</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F72B9-B89F-DB1E-B13B-2D2E14506601}"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6122" width="9.140625" hidden="1"/>
    <col min="3" max="3" style="16123" width="3.00390625" customWidth="1"/>
    <col min="4" max="4" style="16122" width="6.00390625" customWidth="1"/>
    <col min="5" max="5" style="16122" width="94.00390625" customWidth="1"/>
    <col min="6" max="9" style="16122" width="8.00390625" customWidth="1"/>
    <col min="10" max="10" style="16122"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1909</v>
      </c>
      <c r="E7" s="2725"/>
      <c r="F7" s="494"/>
      <c r="J7" s="296">
        <v>22</v>
      </c>
    </row>
    <row customHeight="1" ht="3">
      <c r="C8" s="319"/>
      <c r="D8" s="297"/>
      <c r="E8" s="297"/>
      <c r="J8" s="296">
        <v>3</v>
      </c>
    </row>
    <row customHeight="1" ht="16.8">
      <c r="C9" s="319"/>
      <c r="D9" s="332" t="s">
        <v>88</v>
      </c>
      <c r="E9" s="487" t="s">
        <v>1910</v>
      </c>
      <c r="J9" s="296">
        <v>16</v>
      </c>
    </row>
    <row customHeight="1" ht="1.05">
      <c r="C10" s="319"/>
      <c r="D10" s="314"/>
      <c r="E10" s="314"/>
      <c r="J10" s="296">
        <v>1</v>
      </c>
    </row>
    <row customHeight="1" ht="11.25" hidden="1">
      <c r="C11" s="319"/>
      <c r="D11" s="377">
        <v>0</v>
      </c>
      <c r="E11" s="488"/>
      <c r="J11" s="296">
        <v>0</v>
      </c>
    </row>
    <row customHeight="1" ht="15.75">
      <c r="C12" s="363"/>
      <c r="D12" s="340">
        <v>1</v>
      </c>
      <c r="E12" s="604" t="s">
        <v>1911</v>
      </c>
      <c r="J12" s="296">
        <v>15</v>
      </c>
    </row>
    <row customHeight="1" ht="12.75">
      <c r="C13" s="319"/>
      <c r="D13" s="489"/>
      <c r="E13" s="490" t="s">
        <v>1912</v>
      </c>
      <c r="J13" s="296">
        <v>12</v>
      </c>
    </row>
    <row customHeight="1" ht="3">
      <c r="J14" s="296">
        <v>3</v>
      </c>
    </row>
    <row customHeight="1" ht="23.25">
      <c r="C15" s="364"/>
      <c r="D15" s="2726" t="s">
        <v>1913</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C08E1-638A-5289-CDD8-B006481B88E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6122" width="9.140625" hidden="1"/>
    <col min="3" max="3" style="16123" width="3.00390625" customWidth="1"/>
    <col min="4" max="4" style="16122" width="6.00390625" customWidth="1"/>
    <col min="5" max="5" style="16122" width="94.00390625" customWidth="1"/>
    <col min="6" max="12" style="16122" width="8.00390625" customWidth="1"/>
    <col min="13" max="13" style="16122"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1914</v>
      </c>
      <c r="E7" s="2327"/>
      <c r="F7" s="494"/>
      <c r="M7" s="296">
        <v>22</v>
      </c>
    </row>
    <row customHeight="1" ht="3">
      <c r="C8" s="319"/>
      <c r="D8" s="297"/>
      <c r="E8" s="297"/>
      <c r="M8" s="296">
        <v>3</v>
      </c>
    </row>
    <row customHeight="1" ht="16.8">
      <c r="C9" s="319"/>
      <c r="D9" s="332" t="s">
        <v>88</v>
      </c>
      <c r="E9" s="335" t="s">
        <v>292</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1912</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D88A7-A9CA-89D3-9F5C-0D778785921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282" width="1.7109375" customWidth="1"/>
    <col min="2" max="2" style="13282" width="34.57421875" customWidth="1"/>
    <col min="3" max="3" style="13282" width="85.00390625" customWidth="1"/>
    <col min="4" max="4" style="13282" width="17.00390625" customWidth="1"/>
    <col min="5" max="5" style="13282" width="8.00390625" customWidth="1"/>
    <col min="6" max="6" style="13282" width="9.140625" hidden="1"/>
  </cols>
  <sheetData>
    <row customHeight="1" ht="3">
      <c r="F1" s="316" t="s">
        <v>14</v>
      </c>
    </row>
    <row customHeight="1" ht="22.5">
      <c r="B2" s="2840" t="s">
        <v>1915</v>
      </c>
      <c r="C2" s="2727"/>
      <c r="D2" s="2727"/>
      <c r="E2" s="495"/>
      <c r="F2" s="316">
        <v>22</v>
      </c>
    </row>
    <row customHeight="1" ht="3">
      <c r="F3" s="316">
        <v>3</v>
      </c>
    </row>
    <row customHeight="1" ht="23.25">
      <c r="B4" s="2841" t="s">
        <v>1916</v>
      </c>
      <c r="C4" s="610" t="s">
        <v>1917</v>
      </c>
      <c r="D4" s="610" t="s">
        <v>1918</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84189-4DA4-76D6-E968-835B1F920E0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282" width="26.57421875" customWidth="1"/>
    <col min="2" max="2" style="13282" width="10.00390625" customWidth="1"/>
    <col min="3" max="3" style="13282" width="9.140625"/>
    <col min="4" max="4" style="13282" width="11.140625" customWidth="1"/>
    <col min="5" max="5" style="13282" width="16.57421875" customWidth="1"/>
    <col min="6" max="6" style="13282" width="16.28125" customWidth="1"/>
    <col min="7" max="7" style="13282" width="19.140625" customWidth="1"/>
    <col min="8" max="11" style="13282" width="10.00390625" customWidth="1"/>
    <col min="12" max="12" style="13282" width="12.7109375" customWidth="1"/>
    <col min="13" max="13" style="13282" width="61.28125" customWidth="1"/>
    <col min="14" max="14" style="13282" width="10.00390625" customWidth="1"/>
    <col min="15" max="17" style="13282" width="23.7109375" customWidth="1"/>
    <col min="18" max="18" style="13282" width="11.7109375" customWidth="1"/>
    <col min="19" max="19" style="13282" width="8.57421875" customWidth="1"/>
    <col min="20" max="20" style="13282" width="11.7109375" customWidth="1"/>
    <col min="21" max="21" style="13282" width="8.57421875" customWidth="1"/>
    <col min="22" max="22" style="13282" width="4.7109375" customWidth="1"/>
    <col min="23" max="23" style="13282" width="115.7109375" customWidth="1"/>
    <col min="24" max="24" style="13282" width="115.28125" customWidth="1"/>
    <col min="25" max="27" style="13282" width="9.140625"/>
    <col min="28" max="28" style="13282" width="115.7109375" customWidth="1"/>
    <col min="29" max="29" style="13282" width="9.140625"/>
    <col min="30" max="90" style="13282" width="115.7109375" customWidth="1"/>
    <col min="91" max="184" style="13282" width="9.140625"/>
  </cols>
  <sheetData>
    <row r="2" s="16133" customFormat="1" customHeight="1" ht="17.25">
      <c r="A2" s="2042" t="s">
        <v>1919</v>
      </c>
    </row>
    <row r="4" s="16122" customFormat="1" customHeight="1" ht="15">
      <c r="C4" s="2043"/>
      <c r="D4" s="340"/>
      <c r="E4" s="604"/>
    </row>
    <row r="6" s="16133" customFormat="1" customHeight="1" ht="17.25">
      <c r="A6" s="2042" t="s">
        <v>1920</v>
      </c>
    </row>
    <row r="8" s="16122" customFormat="1" customHeight="1" ht="17.25">
      <c r="C8" s="2044"/>
      <c r="D8" s="340"/>
      <c r="E8" s="341"/>
    </row>
    <row r="11" s="16133" customFormat="1" customHeight="1" ht="17.25">
      <c r="A11" s="2042" t="s">
        <v>1921</v>
      </c>
    </row>
    <row r="13" s="13237" customFormat="1" customHeight="1" ht="15">
      <c r="A13" s="2444">
        <v>1</v>
      </c>
      <c r="B13" s="1387"/>
      <c r="C13" s="1028" t="s">
        <v>491</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3282"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3282"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6133" customFormat="1" customHeight="1" ht="17.25">
      <c r="A17" s="2042" t="s">
        <v>1922</v>
      </c>
    </row>
    <row r="19" s="13282" customFormat="1" customHeight="1" ht="15">
      <c r="A19" s="2109"/>
      <c r="B19" s="1593">
        <v>1</v>
      </c>
      <c r="C19" s="1593"/>
      <c r="D19" s="1027" t="s">
        <v>491</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3282" customFormat="1" customHeight="1" ht="15">
      <c r="A21" s="2042" t="s">
        <v>1923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3282" customFormat="1" customHeight="1" ht="15">
      <c r="U22" s="412"/>
    </row>
    <row s="13348" customFormat="1" customHeight="1" ht="15">
      <c r="A23" s="650"/>
      <c r="B23" s="650"/>
      <c r="C23" s="1955" t="s">
        <v>491</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3348"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3348"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3282" customFormat="1" customHeight="1" ht="15">
      <c r="U26" s="412"/>
    </row>
    <row s="13282" customFormat="1" customHeight="1" ht="15">
      <c r="A27" s="2042" t="s">
        <v>1924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3282" customFormat="1" customHeight="1" ht="15">
      <c r="U28" s="412"/>
    </row>
    <row s="13348" customFormat="1" customHeight="1" ht="15">
      <c r="A29" s="650"/>
      <c r="B29" s="650"/>
      <c r="C29" s="403"/>
      <c r="D29" s="2048"/>
      <c r="E29" s="2048"/>
      <c r="F29" s="2048"/>
      <c r="G29" s="2788" t="s">
        <v>491</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3348"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3282" customFormat="1" customHeight="1" ht="15">
      <c r="U31" s="412"/>
    </row>
    <row s="13282" customFormat="1" customHeight="1" ht="15">
      <c r="A32" s="2042" t="s">
        <v>1925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3282" customFormat="1" customHeight="1" ht="15">
      <c r="U33" s="412"/>
    </row>
    <row s="13348" customFormat="1" customHeight="1" ht="15">
      <c r="A34" s="650"/>
      <c r="B34" s="650"/>
      <c r="C34" s="403"/>
      <c r="D34" s="2048"/>
      <c r="E34" s="2048"/>
      <c r="F34" s="2048"/>
      <c r="G34" s="2048"/>
      <c r="H34" s="2048"/>
      <c r="I34" s="2048"/>
      <c r="J34" s="2048"/>
      <c r="K34" s="2026" t="s">
        <v>491</v>
      </c>
      <c r="L34" s="1956" t="s">
        <v>109</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3282" customFormat="1" customHeight="1" ht="15">
      <c r="U35" s="412"/>
    </row>
    <row s="13282" customFormat="1" customHeight="1" ht="15">
      <c r="U36" s="412"/>
    </row>
    <row s="16133" customFormat="1" customHeight="1" ht="11.25">
      <c r="A37" s="2042" t="s">
        <v>1926</v>
      </c>
    </row>
    <row customHeight="1" ht="11.25"/>
    <row s="13782" customFormat="1" customHeight="1" ht="22.5">
      <c r="A39" s="2018"/>
      <c r="B39" s="684"/>
      <c r="C39" s="1086"/>
      <c r="D39" s="667"/>
      <c r="E39" s="1087"/>
      <c r="F39" s="2039"/>
      <c r="G39" s="2049"/>
      <c r="H39" s="702"/>
    </row>
    <row customHeight="1" ht="11.25"/>
    <row s="16133" customFormat="1" customHeight="1" ht="11.25">
      <c r="A41" s="2042" t="s">
        <v>1927</v>
      </c>
    </row>
    <row customHeight="1" ht="11.25"/>
    <row s="13782" customFormat="1" customHeight="1" ht="22.5">
      <c r="A43" s="684"/>
      <c r="B43" s="684"/>
      <c r="C43" s="684"/>
      <c r="D43" s="667"/>
      <c r="E43" s="1087"/>
      <c r="F43" s="1088"/>
      <c r="G43" s="2049"/>
      <c r="H43" s="702"/>
    </row>
    <row customHeight="1" ht="11.25"/>
    <row s="16133" customFormat="1" customHeight="1" ht="11.25">
      <c r="A45" s="2042" t="s">
        <v>1928</v>
      </c>
    </row>
    <row customHeight="1" ht="11.25"/>
    <row s="13782" customFormat="1" customHeight="1" ht="24">
      <c r="A47" s="2429" t="s">
        <v>318</v>
      </c>
      <c r="B47" s="729"/>
      <c r="C47" s="2440"/>
      <c r="D47" s="672" t="str">
        <f>A47</f>
        <v>5.1</v>
      </c>
      <c r="E47" s="669" t="s">
        <v>319</v>
      </c>
      <c r="F47" s="2203" t="s">
        <v>311</v>
      </c>
      <c r="G47" s="671" t="s">
        <v>320</v>
      </c>
      <c r="H47" s="702"/>
      <c r="I47" s="1079"/>
    </row>
    <row s="13782" customFormat="1" customHeight="1" ht="22.5">
      <c r="A48" s="2429"/>
      <c r="B48" s="729"/>
      <c r="C48" s="2440"/>
      <c r="D48" s="667" t="str">
        <f>D47&amp;".1"</f>
        <v>5.1.1</v>
      </c>
      <c r="E48" s="666" t="s">
        <v>321</v>
      </c>
      <c r="F48" s="2204" t="s">
        <v>28</v>
      </c>
      <c r="G48" s="701"/>
      <c r="H48" s="702"/>
      <c r="I48" s="1079"/>
    </row>
    <row s="13782" customFormat="1" customHeight="1" ht="22.5">
      <c r="A49" s="2429"/>
      <c r="B49" s="729"/>
      <c r="C49" s="2440"/>
      <c r="D49" s="667" t="str">
        <f>D47&amp;".2"</f>
        <v>5.1.2</v>
      </c>
      <c r="E49" s="666" t="s">
        <v>322</v>
      </c>
      <c r="F49" s="1959" t="s">
        <v>28</v>
      </c>
      <c r="G49" s="671" t="s">
        <v>323</v>
      </c>
      <c r="H49" s="702"/>
      <c r="I49" s="1079"/>
    </row>
    <row s="13782" customFormat="1" customHeight="1" ht="22.5">
      <c r="A50" s="2429"/>
      <c r="B50" s="729"/>
      <c r="C50" s="2440"/>
      <c r="D50" s="667" t="str">
        <f>D47&amp;".3"</f>
        <v>5.1.3</v>
      </c>
      <c r="E50" s="666" t="s">
        <v>324</v>
      </c>
      <c r="F50" s="2204" t="s">
        <v>28</v>
      </c>
      <c r="G50" s="701"/>
      <c r="H50" s="702"/>
      <c r="I50" s="1079"/>
    </row>
    <row s="13782" customFormat="1" customHeight="1" ht="22.5">
      <c r="A51" s="2429"/>
      <c r="B51" s="729"/>
      <c r="C51" s="2440"/>
      <c r="D51" s="667" t="str">
        <f>D47&amp;".4"</f>
        <v>5.1.4</v>
      </c>
      <c r="E51" s="666" t="s">
        <v>325</v>
      </c>
      <c r="F51" s="2204" t="s">
        <v>28</v>
      </c>
      <c r="G51" s="671" t="s">
        <v>326</v>
      </c>
      <c r="H51" s="702"/>
      <c r="I51" s="1079"/>
    </row>
    <row r="54" s="16133" customFormat="1" customHeight="1" ht="17.25">
      <c r="A54" s="2042" t="s">
        <v>1929</v>
      </c>
    </row>
    <row r="56" s="13116" customFormat="1" customHeight="1" ht="18.75">
      <c r="A56" s="316"/>
      <c r="B56" s="2050"/>
      <c r="C56" s="2050"/>
      <c r="D56" s="2051"/>
      <c r="E56" s="2036"/>
      <c r="F56" s="1095">
        <v>13</v>
      </c>
      <c r="G56" s="1094"/>
      <c r="H56" s="1020"/>
      <c r="I56" s="1018"/>
      <c r="J56" s="747" t="s">
        <v>66</v>
      </c>
      <c r="K56" s="2052" t="s">
        <v>28</v>
      </c>
      <c r="L56" s="316"/>
      <c r="M56" s="1863"/>
      <c r="N56" s="1863"/>
      <c r="O56" s="1863"/>
      <c r="P56" s="743" t="s">
        <v>397</v>
      </c>
      <c r="Q56" s="743" t="s">
        <v>398</v>
      </c>
      <c r="R56" s="744" t="s">
        <v>399</v>
      </c>
      <c r="S56" s="1863" t="s">
        <v>400</v>
      </c>
      <c r="T56" s="1863"/>
      <c r="U56" s="1863"/>
      <c r="V56" s="1863"/>
    </row>
    <row r="58" s="16133" customFormat="1" customHeight="1" ht="11.25">
      <c r="A58" s="2042" t="s">
        <v>1930</v>
      </c>
    </row>
    <row r="60" s="13141"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6133" customFormat="1" customHeight="1" ht="11.25">
      <c r="A62" s="2042" t="s">
        <v>1931</v>
      </c>
    </row>
    <row r="64" s="15802" customFormat="1" customHeight="1" ht="15">
      <c r="A64" s="372" t="s">
        <v>90</v>
      </c>
      <c r="B64" s="352" t="s">
        <v>28</v>
      </c>
      <c r="C64" s="2053"/>
      <c r="D64" s="355"/>
      <c r="E64" s="608"/>
      <c r="F64" s="608"/>
      <c r="G64" s="2030"/>
      <c r="H64" s="2052"/>
      <c r="I64" s="2031"/>
      <c r="K64" s="499"/>
      <c r="L64" s="500"/>
    </row>
    <row r="66" s="16133" customFormat="1" customHeight="1" ht="11.25">
      <c r="A66" s="2042" t="s">
        <v>1932</v>
      </c>
    </row>
    <row r="68" s="13141" customFormat="1" customHeight="1" ht="14.25">
      <c r="A68" s="570"/>
      <c r="B68" s="1387"/>
      <c r="C68" s="603"/>
      <c r="D68" s="2037"/>
      <c r="E68" s="1113"/>
      <c r="F68" s="2052"/>
      <c r="G68" s="316"/>
      <c r="I68" s="1851"/>
      <c r="J68" s="1851"/>
    </row>
    <row r="70" s="16133" customFormat="1" customHeight="1" ht="11.25">
      <c r="A70" s="2042" t="s">
        <v>1933</v>
      </c>
    </row>
    <row r="72" s="13141"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1934</v>
      </c>
    </row>
    <row s="13141"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1935</v>
      </c>
    </row>
    <row r="75" s="16133" customFormat="1" customHeight="1" ht="11.25">
      <c r="A75" s="2042" t="s">
        <v>1936</v>
      </c>
    </row>
    <row r="77" s="13141"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1934</v>
      </c>
    </row>
    <row r="79" s="16133" customFormat="1" customHeight="1" ht="11.25">
      <c r="A79" s="2042" t="s">
        <v>1937</v>
      </c>
    </row>
    <row customHeight="1" ht="17.25"/>
    <row s="13141"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3141"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3141"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3141"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3141"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3141"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3141" customFormat="1" customHeight="1" ht="12">
      <c r="A87" s="1393"/>
      <c r="B87" s="1393"/>
      <c r="C87" s="1393"/>
      <c r="D87" s="1387"/>
      <c r="E87" s="1397"/>
      <c r="F87" s="2764"/>
      <c r="G87" s="1417"/>
      <c r="H87" s="1417"/>
      <c r="I87" s="2762" t="s">
        <v>1938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6133" customFormat="1" customHeight="1" ht="11.25">
      <c r="A89" s="2042" t="s">
        <v>1939</v>
      </c>
    </row>
    <row r="91" s="13141"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3141"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3141"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6133" customFormat="1" customHeight="1" ht="11.25">
      <c r="A95" s="2042" t="s">
        <v>1941</v>
      </c>
    </row>
    <row r="97" s="13141"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6133" customFormat="1" customHeight="1" ht="11.25">
      <c r="A99" s="2042" t="s">
        <v>1942</v>
      </c>
    </row>
    <row r="101" s="13141" customFormat="1" customHeight="1" ht="11.25">
      <c r="A101" s="1393"/>
      <c r="B101" s="1393"/>
      <c r="C101" s="1393"/>
      <c r="D101" s="1387"/>
      <c r="E101" s="1397"/>
      <c r="F101" s="2056"/>
      <c r="G101" s="2057"/>
      <c r="H101" s="2742" t="s">
        <v>109</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3141"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3141"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3141"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3141" customFormat="1" customHeight="1" ht="11.25">
      <c r="A105" s="1393"/>
      <c r="B105" s="1393"/>
      <c r="C105" s="1393"/>
      <c r="D105" s="1387"/>
      <c r="E105" s="1397"/>
      <c r="F105" s="2056"/>
      <c r="G105" s="2057"/>
      <c r="H105" s="2742"/>
      <c r="I105" s="2743"/>
      <c r="J105" s="2712"/>
      <c r="K105" s="2744"/>
      <c r="L105" s="2334"/>
      <c r="M105" s="2335"/>
      <c r="N105" s="1402"/>
      <c r="O105" s="1403"/>
      <c r="P105" s="1395" t="s">
        <v>1943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6133" customFormat="1" customHeight="1" ht="11.25">
      <c r="A107" s="2042" t="s">
        <v>1944</v>
      </c>
    </row>
    <row customHeight="1" ht="17.25"/>
    <row s="15649"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564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5649" customFormat="1" customHeight="1" ht="12">
      <c r="A111" s="1151"/>
      <c r="B111" s="1150"/>
      <c r="C111" s="1151"/>
      <c r="D111" s="1151"/>
      <c r="E111" s="1151"/>
      <c r="F111" s="1440"/>
      <c r="G111" s="2027" t="s">
        <v>1945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6133" customFormat="1" customHeight="1" ht="11.25">
      <c r="A113" s="2042" t="s">
        <v>1946</v>
      </c>
    </row>
    <row r="115" s="13282"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618</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3282" customFormat="1" customHeight="1" ht="15">
      <c r="A116" s="850"/>
      <c r="B116" s="851"/>
      <c r="C116" s="851"/>
      <c r="D116" s="2806"/>
      <c r="E116" s="2604" t="s">
        <v>573</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3282" customFormat="1" customHeight="1" ht="15">
      <c r="A117" s="850"/>
      <c r="B117" s="851"/>
      <c r="C117" s="851"/>
      <c r="D117" s="2806"/>
      <c r="E117" s="2604" t="s">
        <v>574</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3282" customFormat="1" customHeight="1" ht="24.75">
      <c r="A118" s="2033"/>
      <c r="B118" s="1387"/>
      <c r="C118" s="639"/>
      <c r="D118" s="2806"/>
      <c r="E118" s="2603" t="s">
        <v>619</v>
      </c>
      <c r="F118" s="2603"/>
      <c r="G118" s="2603"/>
      <c r="H118" s="2603"/>
      <c r="I118" s="2603"/>
      <c r="J118" s="2603"/>
      <c r="K118" s="2603"/>
      <c r="L118" s="2603"/>
      <c r="M118" s="2603"/>
      <c r="N118" s="2603"/>
      <c r="O118" s="2603"/>
      <c r="P118" s="2603"/>
      <c r="Q118" s="785">
        <f>SUMIF(T119:T120,"i",Q119:Q120)</f>
        <v>0</v>
      </c>
      <c r="R118" s="1244"/>
      <c r="S118" s="2025" t="s">
        <v>620</v>
      </c>
      <c r="T118" s="944" t="s">
        <v>621</v>
      </c>
      <c r="U118" s="2601">
        <v>1</v>
      </c>
      <c r="V118" s="2601" t="s">
        <v>584</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3282"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3282" customFormat="1" customHeight="1" ht="11.25">
      <c r="A120" s="2033"/>
      <c r="B120" s="1387"/>
      <c r="C120" s="639"/>
      <c r="D120" s="2806"/>
      <c r="E120" s="876" t="s">
        <v>28</v>
      </c>
      <c r="F120" s="1395" t="s">
        <v>28</v>
      </c>
      <c r="G120" s="1395" t="s">
        <v>1947</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3282" customFormat="1" customHeight="1" ht="24.75">
      <c r="A121" s="2033"/>
      <c r="B121" s="1387"/>
      <c r="C121" s="639"/>
      <c r="D121" s="2806"/>
      <c r="E121" s="2603" t="s">
        <v>622</v>
      </c>
      <c r="F121" s="2603"/>
      <c r="G121" s="2603"/>
      <c r="H121" s="2603"/>
      <c r="I121" s="2603"/>
      <c r="J121" s="2603"/>
      <c r="K121" s="2603"/>
      <c r="L121" s="2603"/>
      <c r="M121" s="2603"/>
      <c r="N121" s="2603"/>
      <c r="O121" s="2603"/>
      <c r="P121" s="2603"/>
      <c r="Q121" s="785">
        <f>SUMIF(T122:T123,"i",Q122:Q123)</f>
        <v>0</v>
      </c>
      <c r="R121" s="1244"/>
      <c r="S121" s="2025" t="s">
        <v>623</v>
      </c>
      <c r="T121" s="944" t="s">
        <v>621</v>
      </c>
      <c r="U121" s="2601">
        <v>1</v>
      </c>
      <c r="V121" s="2601" t="s">
        <v>584</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3282"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3282" customFormat="1" customHeight="1" ht="11.25">
      <c r="A123" s="2033"/>
      <c r="B123" s="1387"/>
      <c r="C123" s="639"/>
      <c r="D123" s="2807"/>
      <c r="E123" s="876" t="s">
        <v>28</v>
      </c>
      <c r="F123" s="1395" t="s">
        <v>28</v>
      </c>
      <c r="G123" s="1395" t="s">
        <v>1947</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6133" customFormat="1" customHeight="1" ht="11.25">
      <c r="A125" s="2042" t="s">
        <v>1948</v>
      </c>
    </row>
    <row r="127" s="13282"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618</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3282" customFormat="1" customHeight="1" ht="15">
      <c r="A128" s="850"/>
      <c r="B128" s="851"/>
      <c r="C128" s="851"/>
      <c r="D128" s="2806"/>
      <c r="E128" s="2604" t="s">
        <v>573</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3282" customFormat="1" customHeight="1" ht="15">
      <c r="A129" s="850"/>
      <c r="B129" s="851"/>
      <c r="C129" s="851"/>
      <c r="D129" s="2806"/>
      <c r="E129" s="2604" t="s">
        <v>574</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3282" customFormat="1" customHeight="1" ht="24.75">
      <c r="A130" s="2033"/>
      <c r="B130" s="1387"/>
      <c r="C130" s="639"/>
      <c r="D130" s="2806"/>
      <c r="E130" s="2603" t="s">
        <v>619</v>
      </c>
      <c r="F130" s="2603"/>
      <c r="G130" s="2603"/>
      <c r="H130" s="2603"/>
      <c r="I130" s="2603"/>
      <c r="J130" s="2603"/>
      <c r="K130" s="2603"/>
      <c r="L130" s="2603"/>
      <c r="M130" s="2603"/>
      <c r="N130" s="2603"/>
      <c r="O130" s="2603"/>
      <c r="P130" s="2603"/>
      <c r="Q130" s="785">
        <f>SUMIF(T131:T132,"i",Q131:Q132)</f>
        <v>0</v>
      </c>
      <c r="R130" s="1244"/>
      <c r="S130" s="2025" t="s">
        <v>620</v>
      </c>
      <c r="T130" s="944" t="s">
        <v>621</v>
      </c>
      <c r="U130" s="2601">
        <v>1</v>
      </c>
      <c r="V130" s="2601" t="s">
        <v>584</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3282"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3282" customFormat="1" customHeight="1" ht="11.25">
      <c r="A132" s="2033"/>
      <c r="B132" s="1387"/>
      <c r="C132" s="639"/>
      <c r="D132" s="2806"/>
      <c r="E132" s="876" t="s">
        <v>28</v>
      </c>
      <c r="F132" s="1395" t="s">
        <v>28</v>
      </c>
      <c r="G132" s="1395" t="s">
        <v>1947</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3617"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621</v>
      </c>
      <c r="U133" s="2601">
        <v>1</v>
      </c>
      <c r="V133" s="2601" t="s">
        <v>584</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3617"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3617"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6133" customFormat="1" customHeight="1" ht="11.25">
      <c r="A137" s="2042" t="s">
        <v>1949</v>
      </c>
    </row>
    <row r="139" s="13282" customFormat="1" customHeight="1" ht="45">
      <c r="A139" s="2033"/>
      <c r="B139" s="1387"/>
      <c r="C139" s="639"/>
      <c r="D139" s="316"/>
      <c r="E139" s="2799"/>
      <c r="F139" s="2335" t="s">
        <v>109</v>
      </c>
      <c r="G139" s="2802" t="s">
        <v>28</v>
      </c>
      <c r="H139" s="516"/>
      <c r="I139" s="864" t="s">
        <v>109</v>
      </c>
      <c r="J139" s="2034" t="s">
        <v>1950</v>
      </c>
      <c r="K139" s="865" t="s">
        <v>555</v>
      </c>
      <c r="L139" s="2451" t="s">
        <v>555</v>
      </c>
      <c r="M139" s="2804"/>
      <c r="N139" s="865" t="s">
        <v>555</v>
      </c>
      <c r="O139" s="865" t="s">
        <v>555</v>
      </c>
      <c r="P139" s="865" t="s">
        <v>555</v>
      </c>
      <c r="Q139" s="866">
        <f>SUM(Q140:Q142)</f>
        <v>0</v>
      </c>
      <c r="R139" s="866">
        <f>IF(R136=0,0,(Q136/R136)*100)</f>
        <v>0</v>
      </c>
      <c r="S139" s="2406"/>
      <c r="T139" s="944" t="s">
        <v>621</v>
      </c>
      <c r="U139" s="316"/>
      <c r="V139" s="316"/>
      <c r="AC139" s="316"/>
    </row>
    <row s="13282" customFormat="1" customHeight="1" ht="11.25">
      <c r="A140" s="2033"/>
      <c r="B140" s="1387"/>
      <c r="C140" s="639"/>
      <c r="D140" s="316"/>
      <c r="E140" s="2800"/>
      <c r="F140" s="2335"/>
      <c r="G140" s="2802"/>
      <c r="H140" s="2354"/>
      <c r="I140" s="2742" t="s">
        <v>1030</v>
      </c>
      <c r="J140" s="2796"/>
      <c r="K140" s="2797"/>
      <c r="L140" s="867"/>
      <c r="M140" s="868" t="s">
        <v>109</v>
      </c>
      <c r="N140" s="2022"/>
      <c r="O140" s="869"/>
      <c r="P140" s="870"/>
      <c r="Q140" s="869"/>
      <c r="R140" s="871">
        <v>0</v>
      </c>
      <c r="S140" s="2406"/>
      <c r="T140" s="944"/>
      <c r="U140" s="316"/>
      <c r="V140" s="316"/>
      <c r="AC140" s="316"/>
    </row>
    <row s="13282" customFormat="1" customHeight="1" ht="11.25">
      <c r="A141" s="2033"/>
      <c r="B141" s="1387"/>
      <c r="C141" s="639"/>
      <c r="D141" s="316"/>
      <c r="E141" s="2800"/>
      <c r="F141" s="2335"/>
      <c r="G141" s="2802"/>
      <c r="H141" s="2354"/>
      <c r="I141" s="2742"/>
      <c r="J141" s="2796"/>
      <c r="K141" s="2798"/>
      <c r="L141" s="872"/>
      <c r="M141" s="873"/>
      <c r="N141" s="874" t="s">
        <v>1951</v>
      </c>
      <c r="O141" s="874"/>
      <c r="P141" s="874"/>
      <c r="Q141" s="874"/>
      <c r="R141" s="875"/>
      <c r="S141" s="2406"/>
      <c r="T141" s="944"/>
      <c r="U141" s="316"/>
      <c r="V141" s="316"/>
      <c r="AC141" s="316"/>
    </row>
    <row s="13282" customFormat="1" customHeight="1" ht="11.25">
      <c r="A142" s="2033"/>
      <c r="B142" s="1387"/>
      <c r="C142" s="639"/>
      <c r="D142" s="316"/>
      <c r="E142" s="2801"/>
      <c r="F142" s="2335"/>
      <c r="G142" s="2803"/>
      <c r="H142" s="872" t="s">
        <v>28</v>
      </c>
      <c r="I142" s="873"/>
      <c r="J142" s="874" t="s">
        <v>1952</v>
      </c>
      <c r="K142" s="874"/>
      <c r="L142" s="874"/>
      <c r="M142" s="874"/>
      <c r="N142" s="874"/>
      <c r="O142" s="874"/>
      <c r="P142" s="874"/>
      <c r="Q142" s="874"/>
      <c r="R142" s="875"/>
      <c r="S142" s="2406"/>
      <c r="T142" s="944"/>
      <c r="U142" s="316"/>
      <c r="V142" s="316"/>
      <c r="AC142" s="316"/>
    </row>
    <row r="147" s="13282" customFormat="1" customHeight="1" ht="11.25">
      <c r="A147" s="2033"/>
      <c r="B147" s="1387"/>
      <c r="C147" s="639"/>
      <c r="D147" s="316"/>
      <c r="E147" s="2057"/>
      <c r="F147" s="2057"/>
      <c r="G147" s="2057"/>
      <c r="H147" s="2354"/>
      <c r="I147" s="2742" t="s">
        <v>1030</v>
      </c>
      <c r="J147" s="2796"/>
      <c r="K147" s="2797"/>
      <c r="L147" s="867"/>
      <c r="M147" s="868" t="s">
        <v>109</v>
      </c>
      <c r="N147" s="2022"/>
      <c r="O147" s="869"/>
      <c r="P147" s="870"/>
      <c r="Q147" s="869"/>
      <c r="R147" s="871">
        <v>0</v>
      </c>
      <c r="S147" s="316"/>
      <c r="T147" s="944"/>
      <c r="U147" s="316"/>
      <c r="V147" s="316"/>
      <c r="AC147" s="316"/>
    </row>
    <row s="13282" customFormat="1" customHeight="1" ht="11.25">
      <c r="A148" s="2033"/>
      <c r="B148" s="1387"/>
      <c r="C148" s="639"/>
      <c r="D148" s="316"/>
      <c r="E148" s="2057"/>
      <c r="F148" s="2057"/>
      <c r="G148" s="2057"/>
      <c r="H148" s="2354"/>
      <c r="I148" s="2742"/>
      <c r="J148" s="2796"/>
      <c r="K148" s="2798"/>
      <c r="L148" s="872"/>
      <c r="M148" s="873"/>
      <c r="N148" s="874" t="s">
        <v>1951</v>
      </c>
      <c r="O148" s="874"/>
      <c r="P148" s="874"/>
      <c r="Q148" s="874"/>
      <c r="R148" s="875"/>
      <c r="S148" s="316"/>
      <c r="T148" s="944"/>
      <c r="U148" s="316"/>
      <c r="V148" s="316"/>
      <c r="AC148" s="316"/>
    </row>
    <row r="150" s="13282"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6133" customFormat="1" customHeight="1" ht="17.25">
      <c r="A152" s="2042" t="s">
        <v>1953</v>
      </c>
    </row>
    <row customHeight="1" ht="17.25">
      <c r="G153" s="2066"/>
      <c r="H153" s="2066"/>
      <c r="I153" s="2066"/>
      <c r="M153" s="2062"/>
    </row>
    <row s="13348" customFormat="1" customHeight="1" ht="17.25">
      <c r="A154" s="2067"/>
      <c r="C154" s="2069"/>
      <c r="D154" s="2756"/>
      <c r="E154" s="2370"/>
      <c r="F154" s="2372"/>
      <c r="G154" s="2758"/>
      <c r="H154" s="2756"/>
      <c r="I154" s="2756">
        <v>1</v>
      </c>
      <c r="J154" s="2728"/>
      <c r="K154" s="2412" t="s">
        <v>66</v>
      </c>
      <c r="L154" s="2335"/>
      <c r="M154" s="2335" t="s">
        <v>109</v>
      </c>
      <c r="N154" s="2731" t="str">
        <f>IF(Z154="","",INDEX(TERRITORY_MR_LIST,MATCH(Z154,TERRITORY_LIST_ID,0)))</f>
        <v/>
      </c>
      <c r="O154" s="2412" t="s">
        <v>66</v>
      </c>
      <c r="P154" s="2335"/>
      <c r="Q154" s="2335" t="s">
        <v>109</v>
      </c>
      <c r="R154" s="2729" t="s">
        <v>28</v>
      </c>
      <c r="S154" s="2334" t="s">
        <v>66</v>
      </c>
      <c r="T154" s="2038"/>
      <c r="U154" s="2038" t="s">
        <v>109</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3348"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419</v>
      </c>
      <c r="W155" s="546"/>
      <c r="Y155" s="1486"/>
      <c r="Z155" s="1486"/>
      <c r="AA155" s="1486"/>
      <c r="AB155" s="1486"/>
      <c r="AC155" s="1486"/>
      <c r="AD155" s="1486"/>
      <c r="AE155" s="1486"/>
      <c r="AF155" s="1486"/>
      <c r="AG155" s="1486"/>
      <c r="AH155" s="1486"/>
      <c r="AI155" s="1486"/>
      <c r="AJ155" s="1486"/>
      <c r="AK155" s="1486"/>
    </row>
    <row s="13348" customFormat="1" customHeight="1" ht="17.25">
      <c r="A156" s="2067"/>
      <c r="C156" s="2072"/>
      <c r="D156" s="2730"/>
      <c r="E156" s="2757"/>
      <c r="F156" s="2373"/>
      <c r="G156" s="2759"/>
      <c r="H156" s="2730"/>
      <c r="I156" s="2730"/>
      <c r="J156" s="2760"/>
      <c r="K156" s="2413"/>
      <c r="L156" s="2730"/>
      <c r="M156" s="2730"/>
      <c r="N156" s="2732"/>
      <c r="O156" s="2339"/>
      <c r="P156" s="544"/>
      <c r="Q156" s="545"/>
      <c r="R156" s="545" t="s">
        <v>229</v>
      </c>
      <c r="S156" s="2073"/>
      <c r="T156" s="2073"/>
      <c r="U156" s="2073"/>
      <c r="V156" s="2073"/>
      <c r="W156" s="546"/>
      <c r="Y156" s="1486"/>
      <c r="Z156" s="1486"/>
      <c r="AA156" s="1486"/>
      <c r="AB156" s="1486"/>
      <c r="AC156" s="1486"/>
      <c r="AD156" s="1486"/>
      <c r="AE156" s="1486"/>
      <c r="AF156" s="1486"/>
      <c r="AG156" s="1486"/>
      <c r="AH156" s="1486"/>
      <c r="AI156" s="1486"/>
      <c r="AJ156" s="1486"/>
      <c r="AK156" s="1486"/>
    </row>
    <row s="13348" customFormat="1" customHeight="1" ht="17.25">
      <c r="A157" s="2067"/>
      <c r="C157" s="2072"/>
      <c r="D157" s="2730"/>
      <c r="E157" s="2757"/>
      <c r="F157" s="2373"/>
      <c r="G157" s="2759"/>
      <c r="H157" s="2730"/>
      <c r="I157" s="2730"/>
      <c r="J157" s="2760"/>
      <c r="K157" s="2339"/>
      <c r="L157" s="544"/>
      <c r="M157" s="545"/>
      <c r="N157" s="545" t="s">
        <v>230</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3348" customFormat="1" customHeight="1" ht="17.25">
      <c r="A158" s="2067"/>
      <c r="C158" s="2072"/>
      <c r="D158" s="2730"/>
      <c r="E158" s="2757"/>
      <c r="F158" s="2374"/>
      <c r="G158" s="2759"/>
      <c r="H158" s="544"/>
      <c r="I158" s="545"/>
      <c r="J158" s="545" t="s">
        <v>231</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3348" customFormat="1" customHeight="1" ht="17.25">
      <c r="A160" s="2067"/>
      <c r="C160" s="2069"/>
      <c r="D160" s="2057"/>
      <c r="E160" s="2074"/>
      <c r="F160" s="2011"/>
      <c r="G160" s="2075"/>
      <c r="H160" s="2756"/>
      <c r="I160" s="2756">
        <v>1</v>
      </c>
      <c r="J160" s="2728"/>
      <c r="K160" s="2412" t="s">
        <v>66</v>
      </c>
      <c r="L160" s="2335"/>
      <c r="M160" s="2335" t="s">
        <v>109</v>
      </c>
      <c r="N160" s="2731" t="str">
        <f>IF(Z160="","",INDEX(TERRITORY_MR_LIST,MATCH(Z160,TERRITORY_LIST_ID,0)))</f>
        <v/>
      </c>
      <c r="O160" s="2412" t="s">
        <v>66</v>
      </c>
      <c r="P160" s="2335"/>
      <c r="Q160" s="2335" t="s">
        <v>109</v>
      </c>
      <c r="R160" s="2729" t="s">
        <v>28</v>
      </c>
      <c r="S160" s="2334" t="s">
        <v>66</v>
      </c>
      <c r="T160" s="2038"/>
      <c r="U160" s="2038" t="s">
        <v>109</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3348"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419</v>
      </c>
      <c r="W161" s="546"/>
      <c r="Y161" s="1486"/>
      <c r="Z161" s="1486"/>
      <c r="AA161" s="1486"/>
      <c r="AB161" s="1486"/>
      <c r="AC161" s="1486"/>
      <c r="AD161" s="1486"/>
      <c r="AE161" s="1486"/>
      <c r="AF161" s="1486"/>
      <c r="AG161" s="1486"/>
      <c r="AH161" s="1486"/>
      <c r="AI161" s="1486"/>
      <c r="AJ161" s="1486"/>
      <c r="AK161" s="1486"/>
    </row>
    <row s="13348" customFormat="1" customHeight="1" ht="17.25">
      <c r="A162" s="2067"/>
      <c r="C162" s="2072"/>
      <c r="D162" s="2057"/>
      <c r="E162" s="2074"/>
      <c r="F162" s="2011"/>
      <c r="G162" s="2075"/>
      <c r="H162" s="2730"/>
      <c r="I162" s="2730"/>
      <c r="J162" s="2760"/>
      <c r="K162" s="2413"/>
      <c r="L162" s="2730"/>
      <c r="M162" s="2730"/>
      <c r="N162" s="2732"/>
      <c r="O162" s="2339"/>
      <c r="P162" s="544"/>
      <c r="Q162" s="545"/>
      <c r="R162" s="545" t="s">
        <v>229</v>
      </c>
      <c r="S162" s="2073"/>
      <c r="T162" s="2073"/>
      <c r="U162" s="2073"/>
      <c r="V162" s="2073"/>
      <c r="W162" s="546"/>
      <c r="Y162" s="1486"/>
      <c r="Z162" s="1486"/>
      <c r="AA162" s="1486"/>
      <c r="AB162" s="1486"/>
      <c r="AC162" s="1486"/>
      <c r="AD162" s="1486"/>
      <c r="AE162" s="1486"/>
      <c r="AF162" s="1486"/>
      <c r="AG162" s="1486"/>
      <c r="AH162" s="1486"/>
      <c r="AI162" s="1486"/>
      <c r="AJ162" s="1486"/>
      <c r="AK162" s="1486"/>
    </row>
    <row s="13348" customFormat="1" customHeight="1" ht="17.25">
      <c r="A163" s="2067"/>
      <c r="C163" s="2072"/>
      <c r="D163" s="2057"/>
      <c r="E163" s="2074"/>
      <c r="F163" s="2011"/>
      <c r="G163" s="2075"/>
      <c r="H163" s="2730"/>
      <c r="I163" s="2730"/>
      <c r="J163" s="2760"/>
      <c r="K163" s="2339"/>
      <c r="L163" s="544"/>
      <c r="M163" s="545"/>
      <c r="N163" s="545" t="s">
        <v>230</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3348"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66</v>
      </c>
      <c r="P165" s="2335"/>
      <c r="Q165" s="2335" t="s">
        <v>109</v>
      </c>
      <c r="R165" s="2729" t="s">
        <v>28</v>
      </c>
      <c r="S165" s="2334" t="s">
        <v>66</v>
      </c>
      <c r="T165" s="2038"/>
      <c r="U165" s="2038" t="s">
        <v>109</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3348"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419</v>
      </c>
      <c r="W166" s="546"/>
      <c r="Y166" s="1486"/>
      <c r="Z166" s="1486"/>
      <c r="AA166" s="1486"/>
      <c r="AB166" s="1486"/>
      <c r="AC166" s="1486"/>
      <c r="AD166" s="1486"/>
      <c r="AE166" s="1486"/>
      <c r="AF166" s="1486"/>
      <c r="AG166" s="1486"/>
      <c r="AH166" s="1486"/>
      <c r="AI166" s="1486"/>
      <c r="AJ166" s="1486"/>
      <c r="AK166" s="1486"/>
    </row>
    <row s="13348" customFormat="1" customHeight="1" ht="17.25">
      <c r="A167" s="2067"/>
      <c r="C167" s="2072"/>
      <c r="D167" s="2057"/>
      <c r="E167" s="2074"/>
      <c r="F167" s="2011"/>
      <c r="G167" s="2075"/>
      <c r="H167" s="2057"/>
      <c r="I167" s="2057"/>
      <c r="J167" s="2076"/>
      <c r="K167" s="1987"/>
      <c r="L167" s="2730"/>
      <c r="M167" s="2730"/>
      <c r="N167" s="2732"/>
      <c r="O167" s="2339"/>
      <c r="P167" s="544"/>
      <c r="Q167" s="545"/>
      <c r="R167" s="545" t="s">
        <v>229</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3348"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28</v>
      </c>
      <c r="S169" s="2334" t="s">
        <v>66</v>
      </c>
      <c r="T169" s="2038"/>
      <c r="U169" s="2038" t="s">
        <v>109</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3348"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419</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3348"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6133" customFormat="1" customHeight="1" ht="17.25">
      <c r="A174" s="2042" t="s">
        <v>1954</v>
      </c>
    </row>
    <row customHeight="1" ht="17.25">
      <c r="G175" s="2066"/>
      <c r="H175" s="2066"/>
      <c r="I175" s="2066"/>
      <c r="M175" s="2062"/>
    </row>
    <row s="13348" customFormat="1" customHeight="1" ht="17.25">
      <c r="A176" s="2067"/>
      <c r="C176" s="2069"/>
      <c r="D176" s="2756"/>
      <c r="E176" s="2370"/>
      <c r="F176" s="2372"/>
      <c r="G176" s="2758"/>
      <c r="H176" s="2756"/>
      <c r="I176" s="2756">
        <v>1</v>
      </c>
      <c r="J176" s="2728"/>
      <c r="K176" s="2412" t="s">
        <v>66</v>
      </c>
      <c r="L176" s="2335"/>
      <c r="M176" s="2335" t="s">
        <v>109</v>
      </c>
      <c r="N176" s="2731" t="str">
        <f>IF(Z176="","",INDEX(TERRITORY_MR_LIST,MATCH(Z176,TERRITORY_LIST_ID,0)))</f>
        <v/>
      </c>
      <c r="O176" s="2412" t="s">
        <v>66</v>
      </c>
      <c r="P176" s="2335"/>
      <c r="Q176" s="2335" t="s">
        <v>109</v>
      </c>
      <c r="R176" s="2729" t="s">
        <v>28</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3348"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3348" customFormat="1" customHeight="1" ht="17.25">
      <c r="A178" s="2067"/>
      <c r="C178" s="2072"/>
      <c r="D178" s="2730"/>
      <c r="E178" s="2757"/>
      <c r="F178" s="2373"/>
      <c r="G178" s="2759"/>
      <c r="H178" s="2730"/>
      <c r="I178" s="2730"/>
      <c r="J178" s="2760"/>
      <c r="K178" s="2413"/>
      <c r="L178" s="2730"/>
      <c r="M178" s="2730"/>
      <c r="N178" s="2732"/>
      <c r="O178" s="2339"/>
      <c r="P178" s="544"/>
      <c r="Q178" s="545"/>
      <c r="R178" s="545" t="s">
        <v>229</v>
      </c>
      <c r="S178" s="2073"/>
      <c r="T178" s="2073"/>
      <c r="U178" s="2073"/>
      <c r="V178" s="2073"/>
      <c r="W178" s="1660"/>
      <c r="Y178" s="1486"/>
      <c r="Z178" s="1486"/>
      <c r="AA178" s="1486"/>
      <c r="AB178" s="1486"/>
      <c r="AC178" s="1486"/>
      <c r="AD178" s="1486"/>
      <c r="AE178" s="1486"/>
      <c r="AF178" s="1486"/>
      <c r="AG178" s="1486"/>
      <c r="AH178" s="1486"/>
      <c r="AI178" s="1486"/>
      <c r="AJ178" s="1486"/>
      <c r="AK178" s="1486"/>
    </row>
    <row s="13348" customFormat="1" customHeight="1" ht="17.25">
      <c r="A179" s="2067"/>
      <c r="C179" s="2072"/>
      <c r="D179" s="2730"/>
      <c r="E179" s="2757"/>
      <c r="F179" s="2373"/>
      <c r="G179" s="2759"/>
      <c r="H179" s="2730"/>
      <c r="I179" s="2730"/>
      <c r="J179" s="2760"/>
      <c r="K179" s="2339"/>
      <c r="L179" s="544"/>
      <c r="M179" s="545"/>
      <c r="N179" s="545" t="s">
        <v>230</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3348" customFormat="1" customHeight="1" ht="17.25">
      <c r="A180" s="2067"/>
      <c r="C180" s="2072"/>
      <c r="D180" s="2730"/>
      <c r="E180" s="2757"/>
      <c r="F180" s="2374"/>
      <c r="G180" s="2759"/>
      <c r="H180" s="544"/>
      <c r="I180" s="545"/>
      <c r="J180" s="545" t="s">
        <v>231</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3348" customFormat="1" customHeight="1" ht="17.25">
      <c r="A182" s="2067"/>
      <c r="C182" s="2069"/>
      <c r="D182" s="2057"/>
      <c r="E182" s="2074"/>
      <c r="F182" s="2011"/>
      <c r="G182" s="2075"/>
      <c r="H182" s="2756"/>
      <c r="I182" s="2756">
        <v>1</v>
      </c>
      <c r="J182" s="2728"/>
      <c r="K182" s="2412" t="s">
        <v>66</v>
      </c>
      <c r="L182" s="2335"/>
      <c r="M182" s="2335" t="s">
        <v>109</v>
      </c>
      <c r="N182" s="2731" t="str">
        <f>IF(Z182="","",INDEX(TERRITORY_MR_LIST,MATCH(Z182,TERRITORY_LIST_ID,0)))</f>
        <v/>
      </c>
      <c r="O182" s="2412" t="s">
        <v>66</v>
      </c>
      <c r="P182" s="2335"/>
      <c r="Q182" s="2335" t="s">
        <v>109</v>
      </c>
      <c r="R182" s="2729" t="s">
        <v>28</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3348"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3348" customFormat="1" customHeight="1" ht="17.25">
      <c r="A184" s="2067"/>
      <c r="C184" s="2072"/>
      <c r="D184" s="2057"/>
      <c r="E184" s="2074"/>
      <c r="F184" s="2011"/>
      <c r="G184" s="2075"/>
      <c r="H184" s="2730"/>
      <c r="I184" s="2730"/>
      <c r="J184" s="2760"/>
      <c r="K184" s="2413"/>
      <c r="L184" s="2730"/>
      <c r="M184" s="2730"/>
      <c r="N184" s="2732"/>
      <c r="O184" s="2339"/>
      <c r="P184" s="544"/>
      <c r="Q184" s="545"/>
      <c r="R184" s="545" t="s">
        <v>229</v>
      </c>
      <c r="S184" s="2073"/>
      <c r="T184" s="2073"/>
      <c r="U184" s="2073"/>
      <c r="V184" s="2073"/>
      <c r="W184" s="1660"/>
      <c r="Y184" s="1486"/>
      <c r="Z184" s="1486"/>
      <c r="AA184" s="1486"/>
      <c r="AB184" s="1486"/>
      <c r="AC184" s="1486"/>
      <c r="AD184" s="1486"/>
      <c r="AE184" s="1486"/>
      <c r="AF184" s="1486"/>
      <c r="AG184" s="1486"/>
      <c r="AH184" s="1486"/>
      <c r="AI184" s="1486"/>
      <c r="AJ184" s="1486"/>
      <c r="AK184" s="1486"/>
    </row>
    <row s="13348" customFormat="1" customHeight="1" ht="17.25">
      <c r="A185" s="2067"/>
      <c r="C185" s="2072"/>
      <c r="D185" s="2057"/>
      <c r="E185" s="2074"/>
      <c r="F185" s="2011"/>
      <c r="G185" s="2075"/>
      <c r="H185" s="2730"/>
      <c r="I185" s="2730"/>
      <c r="J185" s="2760"/>
      <c r="K185" s="2339"/>
      <c r="L185" s="544"/>
      <c r="M185" s="545"/>
      <c r="N185" s="545" t="s">
        <v>230</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3348"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66</v>
      </c>
      <c r="P187" s="2335"/>
      <c r="Q187" s="2335" t="s">
        <v>109</v>
      </c>
      <c r="R187" s="2729" t="s">
        <v>28</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3348"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3348" customFormat="1" customHeight="1" ht="17.25">
      <c r="A189" s="2067"/>
      <c r="C189" s="2072"/>
      <c r="D189" s="2057"/>
      <c r="E189" s="2074"/>
      <c r="F189" s="2011"/>
      <c r="G189" s="2075"/>
      <c r="H189" s="2057"/>
      <c r="I189" s="2057"/>
      <c r="J189" s="2078"/>
      <c r="K189" s="2075"/>
      <c r="L189" s="2730"/>
      <c r="M189" s="2730"/>
      <c r="N189" s="2732"/>
      <c r="O189" s="2339"/>
      <c r="P189" s="544"/>
      <c r="Q189" s="545"/>
      <c r="R189" s="545" t="s">
        <v>229</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3348"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28</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3348"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6133" customFormat="1" customHeight="1" ht="17.25">
      <c r="A200" s="2042" t="s">
        <v>1955</v>
      </c>
    </row>
    <row customHeight="1" ht="17.25">
      <c r="G201" s="2066"/>
      <c r="H201" s="2066"/>
      <c r="I201" s="2066"/>
      <c r="M201" s="2062"/>
    </row>
    <row s="13282" customFormat="1" customHeight="1" ht="15">
      <c r="D202" s="2750"/>
      <c r="E202" s="2426"/>
      <c r="F202" s="2426"/>
      <c r="G202" s="2412"/>
      <c r="H202" s="1791"/>
      <c r="I202" s="2754">
        <v>1</v>
      </c>
      <c r="J202" s="2728"/>
      <c r="K202" s="1806"/>
      <c r="L202" s="2412" t="s">
        <v>66</v>
      </c>
      <c r="M202" s="2412" t="s">
        <v>66</v>
      </c>
      <c r="N202" s="1791"/>
      <c r="O202" s="2335" t="s">
        <v>109</v>
      </c>
      <c r="P202" s="2744"/>
      <c r="Q202" s="1807"/>
      <c r="R202" s="2412" t="s">
        <v>66</v>
      </c>
      <c r="S202" s="2412" t="s">
        <v>66</v>
      </c>
      <c r="T202" s="2082"/>
      <c r="U202" s="2335" t="s">
        <v>109</v>
      </c>
      <c r="V202" s="2751" t="str">
        <f>IF(AK202="","",INDEX(TERRITORY_MR_LIST,MATCH(AK202,TERRITORY_LIST_ID,0)))</f>
        <v/>
      </c>
      <c r="W202" s="1808"/>
      <c r="X202" s="2412" t="s">
        <v>66</v>
      </c>
      <c r="Y202" s="2412" t="s">
        <v>19</v>
      </c>
      <c r="Z202" s="1791"/>
      <c r="AA202" s="2335" t="s">
        <v>109</v>
      </c>
      <c r="AB202" s="2753"/>
      <c r="AC202" s="1809"/>
      <c r="AD202" s="2412" t="s">
        <v>66</v>
      </c>
      <c r="AE202" s="2412" t="s">
        <v>19</v>
      </c>
      <c r="AF202" s="1789"/>
      <c r="AG202" s="2038" t="s">
        <v>109</v>
      </c>
      <c r="AH202" s="1799"/>
      <c r="AI202" s="2028"/>
    </row>
    <row s="13282"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1956</v>
      </c>
      <c r="AI203" s="2746"/>
    </row>
    <row s="13282"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1957</v>
      </c>
      <c r="AC204" s="2747"/>
      <c r="AD204" s="2747"/>
      <c r="AE204" s="2747"/>
      <c r="AF204" s="2747"/>
      <c r="AG204" s="2747"/>
      <c r="AH204" s="2747"/>
      <c r="AI204" s="2748"/>
    </row>
    <row s="13282"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3282" customFormat="1" customHeight="1" ht="11.25">
      <c r="D206" s="2750"/>
      <c r="E206" s="2426"/>
      <c r="F206" s="2426"/>
      <c r="G206" s="2413"/>
      <c r="H206" s="1795"/>
      <c r="I206" s="2754"/>
      <c r="J206" s="2755"/>
      <c r="K206" s="1790"/>
      <c r="L206" s="2413"/>
      <c r="M206" s="2413"/>
      <c r="N206" s="1795"/>
      <c r="O206" s="1796"/>
      <c r="P206" s="2745" t="s">
        <v>1958</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3621" customFormat="1" customHeight="1" ht="11.25">
      <c r="D207" s="2750"/>
      <c r="E207" s="2426"/>
      <c r="F207" s="2426"/>
      <c r="G207" s="2339"/>
      <c r="H207" s="1797"/>
      <c r="I207" s="1798"/>
      <c r="J207" s="2745" t="s">
        <v>231</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3282"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3282"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3282"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3282"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3282"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3621"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81AAF-FFE4-8073-CE0E-212C6CA63E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453" width="43.140625"/>
    <col min="2" max="2" style="16453" width="43.140625" hidden="1"/>
    <col min="3" max="3" style="16453" width="43.140625"/>
    <col min="4" max="5" style="16453" width="36.421875" customWidth="1"/>
    <col min="6" max="8" style="16454" width="36.421875" customWidth="1"/>
  </cols>
  <sheetData>
    <row customHeight="1" ht="9">
      <c r="A1" s="1073" t="s">
        <v>1959</v>
      </c>
      <c r="B1" s="1073"/>
      <c r="C1" s="1209" t="s">
        <v>1960</v>
      </c>
      <c r="D1" s="1207" t="s">
        <v>816</v>
      </c>
      <c r="E1" s="1207" t="s">
        <v>862</v>
      </c>
      <c r="F1" s="1207" t="s">
        <v>915</v>
      </c>
      <c r="G1" s="1207" t="s">
        <v>902</v>
      </c>
      <c r="H1" s="1207" t="s">
        <v>1634</v>
      </c>
    </row>
    <row customHeight="1" ht="9">
      <c r="A2" s="1210" t="s">
        <v>1961</v>
      </c>
      <c r="B2" s="1210"/>
      <c r="C2" s="1211" t="str">
        <f>INDEX(TEMPLATE_NUMBER_FORM_LIST,MATCH(TEMPLATE_SPHERE,TEMPLATE_SPHERE_LIST,0))</f>
        <v>10</v>
      </c>
      <c r="D2" s="1210" t="s">
        <v>1484</v>
      </c>
      <c r="E2" s="1210" t="s">
        <v>149</v>
      </c>
      <c r="F2" s="1212" t="s">
        <v>149</v>
      </c>
      <c r="G2" s="1210" t="s">
        <v>149</v>
      </c>
      <c r="H2" s="1213"/>
    </row>
    <row customHeight="1" ht="63">
      <c r="A3" s="1073"/>
      <c r="B3" s="1073" t="s">
        <v>109</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11" t="s">
        <v>1962</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12"/>
      <c r="G3" s="1213"/>
      <c r="H3" s="1073"/>
    </row>
    <row customHeight="1" ht="243">
      <c r="A4" s="1073" t="s">
        <v>1963</v>
      </c>
      <c r="B4" s="1073" t="s">
        <v>110</v>
      </c>
      <c r="C4" s="1211" t="str">
        <f>IF(TEMPLATE_SPHERE="HEAT",D4,IF(TEMPLATE_SPHERE="TKO",H4,E4))</f>
        <v>Форма 1. Информация об организации, осуществляющей холодное водоснабжение (общая информация)</v>
      </c>
      <c r="D4" s="1210" t="s">
        <v>1964</v>
      </c>
      <c r="E4" s="121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10"/>
      <c r="G4" s="1210"/>
      <c r="H4" s="1073" t="s">
        <v>1965</v>
      </c>
    </row>
    <row customHeight="1" ht="117">
      <c r="A5" s="1073" t="s">
        <v>1966</v>
      </c>
      <c r="B5" s="1073" t="s">
        <v>90</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73" t="s">
        <v>1967</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13"/>
      <c r="G5" s="1213"/>
      <c r="H5" s="1073" t="s">
        <v>1968</v>
      </c>
    </row>
    <row customHeight="1" ht="90">
      <c r="A6" s="1073" t="s">
        <v>1969</v>
      </c>
      <c r="B6" s="1073" t="s">
        <v>91</v>
      </c>
      <c r="C6" s="121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73"/>
      <c r="G6" s="1073"/>
      <c r="H6" s="1213"/>
    </row>
    <row customHeight="1" ht="45">
      <c r="A7" s="1073" t="s">
        <v>1970</v>
      </c>
      <c r="B7" s="1073" t="s">
        <v>111</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1971</v>
      </c>
      <c r="E7" s="1073" t="s">
        <v>1972</v>
      </c>
      <c r="F7" s="1213"/>
      <c r="G7" s="1213"/>
      <c r="H7" s="1213"/>
    </row>
    <row customHeight="1" ht="108">
      <c r="A8" s="1073" t="s">
        <v>1973</v>
      </c>
      <c r="B8" s="1073" t="s">
        <v>92</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1173</v>
      </c>
      <c r="E8" s="1073" t="s">
        <v>1974</v>
      </c>
      <c r="F8" s="1213"/>
      <c r="G8" s="1213"/>
      <c r="H8" s="1213"/>
    </row>
    <row customHeight="1" ht="99">
      <c r="A9" s="1073" t="s">
        <v>1975</v>
      </c>
      <c r="B9" s="1073"/>
      <c r="C9" s="1073" t="s">
        <v>1976</v>
      </c>
      <c r="D9" s="1073"/>
      <c r="E9" s="1073"/>
      <c r="F9" s="1213"/>
      <c r="G9" s="1213"/>
      <c r="H9" s="1213"/>
    </row>
    <row customHeight="1" ht="126">
      <c r="A10" s="1073" t="s">
        <v>1977</v>
      </c>
      <c r="B10" s="1073"/>
      <c r="C10" s="1073" t="s">
        <v>1978</v>
      </c>
      <c r="D10" s="1073"/>
      <c r="E10" s="1073"/>
      <c r="F10" s="1213"/>
      <c r="G10" s="1213"/>
      <c r="H10" s="1213"/>
    </row>
    <row customHeight="1" ht="108">
      <c r="A11" s="1073" t="s">
        <v>1979</v>
      </c>
      <c r="B11" s="1073"/>
      <c r="C11" s="1073" t="s">
        <v>1980</v>
      </c>
      <c r="D11" s="1073"/>
      <c r="E11" s="1073"/>
      <c r="F11" s="1213"/>
      <c r="G11" s="1213"/>
      <c r="H11" s="1213"/>
    </row>
    <row customHeight="1" ht="54">
      <c r="A12" s="1073" t="s">
        <v>1981</v>
      </c>
      <c r="B12" s="1073"/>
      <c r="C12" s="1073" t="s">
        <v>1982</v>
      </c>
      <c r="D12" s="1073"/>
      <c r="E12" s="1073"/>
      <c r="F12" s="1213"/>
      <c r="G12" s="1213"/>
      <c r="H12" s="1213"/>
    </row>
    <row customHeight="1" ht="45">
      <c r="A13" s="1073" t="s">
        <v>1983</v>
      </c>
      <c r="B13" s="1073"/>
      <c r="C13" s="1073" t="s">
        <v>1984</v>
      </c>
      <c r="D13" s="1073"/>
      <c r="E13" s="1073"/>
      <c r="F13" s="1213"/>
      <c r="G13" s="1213"/>
      <c r="H13" s="1213"/>
    </row>
    <row customHeight="1" ht="117">
      <c r="A14" s="1073" t="s">
        <v>1985</v>
      </c>
      <c r="B14" s="1073"/>
      <c r="C14" s="1073" t="s">
        <v>1986</v>
      </c>
      <c r="D14" s="1073"/>
      <c r="E14" s="1073"/>
      <c r="F14" s="1213"/>
      <c r="G14" s="1213"/>
      <c r="H14" s="1213"/>
    </row>
    <row customHeight="1" ht="117">
      <c r="A15" s="1073" t="s">
        <v>1987</v>
      </c>
      <c r="B15" s="1073"/>
      <c r="C15" s="1073" t="s">
        <v>1988</v>
      </c>
      <c r="D15" s="1073"/>
      <c r="E15" s="1073"/>
      <c r="F15" s="1213"/>
      <c r="G15" s="1213"/>
      <c r="H15" s="1213"/>
    </row>
    <row customHeight="1" ht="63">
      <c r="A16" s="1073" t="s">
        <v>1989</v>
      </c>
      <c r="B16" s="1073"/>
      <c r="C16" s="1073" t="s">
        <v>1990</v>
      </c>
      <c r="D16" s="1073"/>
      <c r="E16" s="1073"/>
      <c r="F16" s="1213"/>
      <c r="G16" s="1213"/>
      <c r="H16" s="1213"/>
    </row>
    <row customHeight="1" ht="54">
      <c r="A17" s="1073" t="s">
        <v>1991</v>
      </c>
      <c r="B17" s="1073"/>
      <c r="C17" s="1211" t="s">
        <v>1992</v>
      </c>
      <c r="D17" s="1073"/>
      <c r="E17" s="1073"/>
      <c r="F17" s="1213"/>
      <c r="G17" s="1213"/>
      <c r="H17" s="1213"/>
    </row>
    <row customHeight="1" ht="27">
      <c r="A18" s="1073" t="s">
        <v>1993</v>
      </c>
      <c r="B18" s="1073"/>
      <c r="C18" s="1211" t="s">
        <v>1994</v>
      </c>
      <c r="D18" s="1073"/>
      <c r="E18" s="1073"/>
      <c r="F18" s="1213"/>
      <c r="G18" s="1213"/>
      <c r="H18" s="1213"/>
    </row>
    <row customHeight="1" ht="54">
      <c r="A19" s="1073" t="s">
        <v>1995</v>
      </c>
      <c r="B19" s="1073"/>
      <c r="C19" s="1211" t="s">
        <v>1996</v>
      </c>
      <c r="D19" s="1073"/>
      <c r="E19" s="1073"/>
      <c r="F19" s="1213"/>
      <c r="G19" s="1213"/>
      <c r="H19" s="1213"/>
    </row>
    <row customHeight="1" ht="36">
      <c r="A20" s="1073" t="s">
        <v>1997</v>
      </c>
      <c r="B20" s="1073"/>
      <c r="C20" s="1211" t="s">
        <v>1998</v>
      </c>
      <c r="D20" s="1073"/>
      <c r="E20" s="1073"/>
      <c r="F20" s="1213"/>
      <c r="G20" s="1213"/>
      <c r="H20" s="1213"/>
    </row>
    <row customHeight="1" ht="36">
      <c r="A21" s="1073" t="s">
        <v>1999</v>
      </c>
      <c r="B21" s="1073"/>
      <c r="C21" s="1211" t="s">
        <v>2000</v>
      </c>
      <c r="D21" s="1073"/>
      <c r="E21" s="1073"/>
      <c r="F21" s="1213"/>
      <c r="G21" s="1213"/>
      <c r="H21" s="1213"/>
    </row>
    <row customHeight="1" ht="27">
      <c r="A22" s="1073" t="s">
        <v>2001</v>
      </c>
      <c r="B22" s="1073"/>
      <c r="C22" s="1211" t="s">
        <v>2002</v>
      </c>
      <c r="D22" s="1073"/>
      <c r="E22" s="1073"/>
      <c r="F22" s="1213"/>
      <c r="G22" s="1213"/>
      <c r="H22" s="1213"/>
    </row>
    <row customHeight="1" ht="36">
      <c r="A23" s="1073" t="s">
        <v>2003</v>
      </c>
      <c r="B23" s="1073"/>
      <c r="C23" s="1211" t="s">
        <v>2004</v>
      </c>
      <c r="D23" s="1073"/>
      <c r="E23" s="1073"/>
      <c r="F23" s="1213"/>
      <c r="G23" s="1213"/>
      <c r="H23" s="1213"/>
    </row>
    <row customHeight="1" ht="28.5">
      <c r="A24" s="1073" t="s">
        <v>2005</v>
      </c>
      <c r="B24" s="1073"/>
      <c r="C24" s="1211" t="s">
        <v>2006</v>
      </c>
      <c r="D24" s="1073"/>
      <c r="E24" s="1073"/>
      <c r="F24" s="1213"/>
      <c r="G24" s="1213"/>
      <c r="H24" s="1213"/>
    </row>
    <row customHeight="1" ht="36">
      <c r="A25" s="1073" t="s">
        <v>2007</v>
      </c>
      <c r="B25" s="1073"/>
      <c r="C25" s="1211" t="s">
        <v>2008</v>
      </c>
      <c r="D25" s="1073"/>
      <c r="E25" s="1073"/>
      <c r="F25" s="1213"/>
      <c r="G25" s="1213"/>
      <c r="H25" s="1213"/>
    </row>
    <row customHeight="1" ht="27">
      <c r="A26" s="1073" t="s">
        <v>2009</v>
      </c>
      <c r="B26" s="1073"/>
      <c r="C26" s="1211" t="s">
        <v>2010</v>
      </c>
      <c r="D26" s="1073"/>
      <c r="E26" s="1073"/>
      <c r="F26" s="1213"/>
      <c r="G26" s="1213"/>
      <c r="H26" s="1213"/>
    </row>
    <row customHeight="1" ht="36">
      <c r="A27" s="1073" t="s">
        <v>2011</v>
      </c>
      <c r="B27" s="1073"/>
      <c r="C27" s="1211" t="s">
        <v>2012</v>
      </c>
      <c r="D27" s="1073"/>
      <c r="E27" s="1073"/>
      <c r="F27" s="1213"/>
      <c r="G27" s="1213"/>
      <c r="H27" s="1213"/>
    </row>
    <row customHeight="1" ht="28.5">
      <c r="A28" s="1073" t="s">
        <v>2013</v>
      </c>
      <c r="B28" s="1073"/>
      <c r="C28" s="1211" t="s">
        <v>2014</v>
      </c>
      <c r="D28" s="1073"/>
      <c r="E28" s="1073"/>
      <c r="F28" s="1213"/>
      <c r="G28" s="1213"/>
      <c r="H28" s="1213"/>
    </row>
    <row customHeight="1" ht="126">
      <c r="A29" s="1073" t="s">
        <v>2015</v>
      </c>
      <c r="B29" s="1073" t="s">
        <v>1586</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73" t="s">
        <v>2016</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13"/>
      <c r="G29" s="1213"/>
      <c r="H29" s="1073" t="s">
        <v>2017</v>
      </c>
    </row>
    <row customHeight="1" ht="36">
      <c r="A30" s="1073" t="s">
        <v>2018</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73" t="s">
        <v>2019</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13"/>
      <c r="G30" s="1213"/>
      <c r="H30" s="1213"/>
    </row>
    <row customHeight="1" ht="54">
      <c r="A31" s="1073" t="s">
        <v>2020</v>
      </c>
      <c r="B31" s="1073"/>
      <c r="C31" s="1211" t="str">
        <f>IF(TEMPLATE_SPHERE="HEAT",D31,IF(TEMPLATE_SPHERE="TKO",H31,E31))</f>
        <v>Форма 1. Информация об организации, осуществляющей холодное водоснабжение (общая информация)</v>
      </c>
      <c r="D31" s="1073" t="s">
        <v>2021</v>
      </c>
      <c r="E31" s="10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13"/>
      <c r="G31" s="1213"/>
      <c r="H31" s="1213"/>
    </row>
    <row customHeight="1" ht="198">
      <c r="A32" s="1073" t="s">
        <v>2022</v>
      </c>
      <c r="B32" s="1073"/>
      <c r="C32" s="121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73" t="s">
        <v>2023</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13"/>
      <c r="G32" s="1213"/>
      <c r="H32" s="1073" t="s">
        <v>2024</v>
      </c>
    </row>
    <row customHeight="1" ht="9">
      <c r="A33" s="1073"/>
      <c r="B33" s="1073"/>
      <c r="C33" s="1211"/>
      <c r="D33" s="1073"/>
      <c r="E33" s="1073"/>
      <c r="F33" s="1213"/>
      <c r="G33" s="1213"/>
      <c r="H33" s="1213"/>
    </row>
    <row customHeight="1" ht="9">
      <c r="A34" s="1073"/>
      <c r="B34" s="1073" t="s">
        <v>1522</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18D7FF-2E32-61CE-875C-DD954D62F1E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453" width="9.140625"/>
    <col min="3" max="7" style="16497" width="8.00390625" customWidth="1"/>
    <col min="8" max="12" style="16497" width="8.57421875" customWidth="1"/>
    <col min="13" max="14" style="16497" width="27.7109375" customWidth="1"/>
    <col min="15" max="19" style="16497" width="5.140625" customWidth="1"/>
    <col min="20" max="24" style="16497" width="27.7109375" customWidth="1"/>
    <col min="25" max="25" style="16498" width="1.8515625" customWidth="1"/>
    <col min="26" max="26" style="16453" width="27.7109375" customWidth="1"/>
    <col min="27" max="27" style="16499" width="27.7109375" customWidth="1"/>
    <col min="28" max="29" style="16453" width="27.7109375" customWidth="1"/>
    <col min="30" max="30" style="16453" width="3.8515625" customWidth="1"/>
    <col min="31" max="34" style="16453" width="9.140625"/>
  </cols>
  <sheetData>
    <row s="16455" customFormat="1" customHeight="1" ht="18">
      <c r="A1" s="1125"/>
      <c r="B1" s="1125"/>
      <c r="C1" s="1125" t="s">
        <v>2025</v>
      </c>
      <c r="D1" s="1125"/>
      <c r="E1" s="1125"/>
      <c r="F1" s="1125"/>
      <c r="G1" s="1125"/>
      <c r="H1" s="1125" t="s">
        <v>2026</v>
      </c>
      <c r="I1" s="1125"/>
      <c r="J1" s="1125"/>
      <c r="K1" s="1125"/>
      <c r="L1" s="1125"/>
      <c r="M1" s="1125" t="s">
        <v>2027</v>
      </c>
      <c r="N1" s="1125" t="s">
        <v>2028</v>
      </c>
      <c r="O1" s="2819" t="s">
        <v>2029</v>
      </c>
      <c r="P1" s="2819"/>
      <c r="Q1" s="2819"/>
      <c r="R1" s="2819"/>
      <c r="S1" s="2819"/>
      <c r="T1" s="2819" t="s">
        <v>2027</v>
      </c>
      <c r="U1" s="2819"/>
      <c r="V1" s="2819"/>
      <c r="W1" s="2819"/>
      <c r="X1" s="2819"/>
      <c r="Y1" s="1226"/>
      <c r="Z1" s="2819" t="s">
        <v>2030</v>
      </c>
      <c r="AA1" s="2819"/>
      <c r="AB1" s="2819"/>
      <c r="AC1" s="2819"/>
      <c r="AD1" s="2819"/>
    </row>
    <row customHeight="1" ht="18">
      <c r="A2" s="1073"/>
      <c r="B2" s="1073"/>
      <c r="C2" s="1068" t="s">
        <v>816</v>
      </c>
      <c r="D2" s="1068" t="s">
        <v>862</v>
      </c>
      <c r="E2" s="1068" t="s">
        <v>915</v>
      </c>
      <c r="F2" s="1068" t="s">
        <v>902</v>
      </c>
      <c r="G2" s="1068" t="s">
        <v>1634</v>
      </c>
      <c r="H2" s="1070"/>
      <c r="I2" s="1070"/>
      <c r="J2" s="1070"/>
      <c r="K2" s="1070"/>
      <c r="L2" s="1070"/>
      <c r="M2" s="1070"/>
      <c r="N2" s="1070"/>
      <c r="O2" s="1068" t="s">
        <v>816</v>
      </c>
      <c r="P2" s="1068" t="s">
        <v>862</v>
      </c>
      <c r="Q2" s="1068" t="s">
        <v>902</v>
      </c>
      <c r="R2" s="1068" t="s">
        <v>915</v>
      </c>
      <c r="S2" s="1068" t="s">
        <v>1634</v>
      </c>
      <c r="T2" s="1068" t="s">
        <v>816</v>
      </c>
      <c r="U2" s="1068" t="s">
        <v>862</v>
      </c>
      <c r="V2" s="1068" t="s">
        <v>902</v>
      </c>
      <c r="W2" s="1068" t="s">
        <v>915</v>
      </c>
      <c r="X2" s="1068" t="s">
        <v>1634</v>
      </c>
      <c r="Y2" s="1068"/>
      <c r="Z2" s="1068" t="s">
        <v>816</v>
      </c>
      <c r="AA2" s="1077" t="s">
        <v>862</v>
      </c>
      <c r="AB2" s="1068" t="s">
        <v>902</v>
      </c>
      <c r="AC2" s="1068" t="s">
        <v>915</v>
      </c>
      <c r="AD2" s="1068" t="s">
        <v>1634</v>
      </c>
    </row>
    <row customHeight="1" ht="162">
      <c r="A3" s="1072" t="s">
        <v>26</v>
      </c>
      <c r="B3" s="1072"/>
      <c r="C3" s="2823" t="s">
        <v>2031</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70"/>
      <c r="P3" s="1070"/>
      <c r="Q3" s="1070"/>
      <c r="R3" s="1070"/>
      <c r="S3" s="1070"/>
      <c r="T3" s="1070"/>
      <c r="U3" s="1070"/>
      <c r="V3" s="1070"/>
      <c r="W3" s="1070"/>
      <c r="X3" s="1070"/>
      <c r="Y3" s="1227"/>
      <c r="Z3" s="1073" t="s">
        <v>2032</v>
      </c>
      <c r="AA3" s="1070" t="s">
        <v>2033</v>
      </c>
      <c r="AB3" s="1073" t="s">
        <v>2034</v>
      </c>
      <c r="AC3" s="1073" t="s">
        <v>2035</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1573</v>
      </c>
      <c r="D11" s="2826" t="s">
        <v>1569</v>
      </c>
      <c r="E11" s="2826" t="s">
        <v>1667</v>
      </c>
      <c r="F11" s="2826" t="s">
        <v>2036</v>
      </c>
      <c r="G11" s="2826"/>
      <c r="H11" s="1125" t="s">
        <v>2037</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70"/>
      <c r="P11" s="1070"/>
      <c r="Q11" s="1070"/>
      <c r="R11" s="1070"/>
      <c r="S11" s="1070"/>
      <c r="T11" s="1070" t="s">
        <v>2038</v>
      </c>
      <c r="U11" s="1070" t="s">
        <v>2039</v>
      </c>
      <c r="V11" s="1070"/>
      <c r="W11" s="1070"/>
      <c r="X11" s="1070"/>
      <c r="Y11" s="1227"/>
      <c r="Z11" s="1073" t="s">
        <v>2040</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73"/>
      <c r="AC11" s="1073"/>
      <c r="AD11" s="1073"/>
    </row>
    <row customHeight="1" ht="45">
      <c r="A12" s="2820"/>
      <c r="B12" s="1126">
        <v>2</v>
      </c>
      <c r="C12" s="2827"/>
      <c r="D12" s="2827"/>
      <c r="E12" s="2827"/>
      <c r="F12" s="2827"/>
      <c r="G12" s="2827"/>
      <c r="H12" s="1125" t="s">
        <v>2041</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70"/>
      <c r="P12" s="1070"/>
      <c r="Q12" s="1070"/>
      <c r="R12" s="1070"/>
      <c r="S12" s="1070"/>
      <c r="T12" s="1070" t="s">
        <v>2042</v>
      </c>
      <c r="U12" s="1070" t="s">
        <v>2043</v>
      </c>
      <c r="V12" s="1070"/>
      <c r="W12" s="1070"/>
      <c r="X12" s="1070"/>
      <c r="Y12" s="1227"/>
      <c r="Z12" s="1073" t="s">
        <v>2044</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73"/>
      <c r="AC12" s="1073"/>
      <c r="AD12" s="1073"/>
    </row>
    <row customHeight="1" ht="72">
      <c r="A13" s="2820"/>
      <c r="B13" s="1126">
        <v>3</v>
      </c>
      <c r="C13" s="2827"/>
      <c r="D13" s="2827"/>
      <c r="E13" s="2827"/>
      <c r="F13" s="2827"/>
      <c r="G13" s="2827"/>
      <c r="H13" s="2819" t="s">
        <v>2045</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70"/>
      <c r="P13" s="1071"/>
      <c r="Q13" s="1071"/>
      <c r="R13" s="1071"/>
      <c r="S13" s="1070"/>
      <c r="T13" s="1070" t="s">
        <v>2046</v>
      </c>
      <c r="U13" s="1071" t="s">
        <v>2047</v>
      </c>
      <c r="V13" s="1071"/>
      <c r="W13" s="1071"/>
      <c r="X13" s="1070"/>
      <c r="Y13" s="1227"/>
      <c r="Z13" s="1073" t="s">
        <v>2048</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2049</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71"/>
      <c r="W14" s="1071"/>
      <c r="X14" s="1070"/>
      <c r="Y14" s="1227"/>
      <c r="Z14" s="1073" t="s">
        <v>2050</v>
      </c>
      <c r="AA14" s="1076" t="s">
        <v>2050</v>
      </c>
      <c r="AB14" s="1073"/>
      <c r="AC14" s="1073"/>
      <c r="AD14" s="1073"/>
    </row>
    <row customHeight="1" ht="108">
      <c r="A15" s="2820"/>
      <c r="B15" s="1126">
        <v>5</v>
      </c>
      <c r="C15" s="2827"/>
      <c r="D15" s="2827"/>
      <c r="E15" s="2827"/>
      <c r="F15" s="2827"/>
      <c r="G15" s="2827"/>
      <c r="H15" s="2821" t="s">
        <v>2051</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70"/>
      <c r="P15" s="1071"/>
      <c r="Q15" s="1071"/>
      <c r="R15" s="1071"/>
      <c r="S15" s="1070"/>
      <c r="T15" s="1070" t="s">
        <v>2052</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71"/>
      <c r="W15" s="1071"/>
      <c r="X15" s="1070"/>
      <c r="Y15" s="1227"/>
      <c r="Z15" s="1073" t="s">
        <v>2053</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70"/>
      <c r="P16" s="1071"/>
      <c r="Q16" s="1071"/>
      <c r="R16" s="1071"/>
      <c r="S16" s="1070"/>
      <c r="T16" s="1070"/>
      <c r="U16" s="1071"/>
      <c r="V16" s="1071"/>
      <c r="W16" s="1071"/>
      <c r="X16" s="1070"/>
      <c r="Y16" s="1227"/>
      <c r="Z16" s="1073" t="s">
        <v>2053</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1670</v>
      </c>
      <c r="B18" s="1126">
        <v>1</v>
      </c>
      <c r="C18" s="1070" t="s">
        <v>2037</v>
      </c>
      <c r="D18" s="1194" t="s">
        <v>2037</v>
      </c>
      <c r="E18" s="1070" t="s">
        <v>2037</v>
      </c>
      <c r="F18" s="1070" t="s">
        <v>2037</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холодного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холодного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2054</v>
      </c>
      <c r="U18" s="1073" t="s">
        <v>2055</v>
      </c>
      <c r="V18" s="1073" t="s">
        <v>2056</v>
      </c>
      <c r="W18" s="1073" t="s">
        <v>2057</v>
      </c>
      <c r="X18" s="1070"/>
      <c r="Y18" s="1227"/>
      <c r="Z18" s="1073" t="s">
        <v>2058</v>
      </c>
      <c r="AA18" s="1076" t="s">
        <v>2059</v>
      </c>
      <c r="AB18" s="1076" t="s">
        <v>2059</v>
      </c>
      <c r="AC18" s="1076" t="s">
        <v>2059</v>
      </c>
      <c r="AD18" s="1073"/>
    </row>
    <row customHeight="1" ht="36">
      <c r="A19" s="1072"/>
      <c r="B19" s="1126">
        <v>2</v>
      </c>
      <c r="C19" s="1070" t="s">
        <v>2041</v>
      </c>
      <c r="D19" s="1194" t="s">
        <v>2041</v>
      </c>
      <c r="E19" s="1070" t="s">
        <v>2041</v>
      </c>
      <c r="F19" s="1070" t="s">
        <v>2041</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холодного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2060</v>
      </c>
      <c r="U19" s="1073" t="s">
        <v>2061</v>
      </c>
      <c r="V19" s="1073" t="s">
        <v>2062</v>
      </c>
      <c r="W19" s="1073" t="s">
        <v>2063</v>
      </c>
      <c r="X19" s="1070"/>
      <c r="Y19" s="1227"/>
      <c r="Z19" s="1073" t="s">
        <v>2064</v>
      </c>
      <c r="AA19" s="1076" t="s">
        <v>2064</v>
      </c>
      <c r="AB19" s="1076" t="s">
        <v>2064</v>
      </c>
      <c r="AC19" s="1076" t="s">
        <v>2064</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2">
        <f>INDEX(TEMPLATE_NOTE_POINT_FHD,B20,MATCH(TEMPLATE_SPHERE,TEMPLATE_SPHERE_LIST_FOR_NOTE,0))</f>
        <v>0</v>
      </c>
      <c r="L20" s="1071" t="str">
        <f>IF(I20=0,"",I20)</f>
        <v>2.1</v>
      </c>
      <c r="M20" s="1071" t="str">
        <f>IF(J20=0,"",J20)</f>
        <v>Расходы на оплату холодной воды, приобретаемой у других организаций для последующей подачи потребителям</v>
      </c>
      <c r="N20" s="1071" t="str">
        <f>IF(K20=0,"",K20)</f>
        <v/>
      </c>
      <c r="O20" s="1184" t="s">
        <v>717</v>
      </c>
      <c r="P20" s="1184" t="s">
        <v>717</v>
      </c>
      <c r="Q20" s="1184" t="s">
        <v>717</v>
      </c>
      <c r="R20" s="1184" t="s">
        <v>717</v>
      </c>
      <c r="S20" s="1184"/>
      <c r="T20" s="1191" t="s">
        <v>2065</v>
      </c>
      <c r="U20" s="1073" t="s">
        <v>2066</v>
      </c>
      <c r="V20" s="1073" t="s">
        <v>2067</v>
      </c>
      <c r="W20" s="1073" t="s">
        <v>2068</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312</v>
      </c>
      <c r="P21" s="1184"/>
      <c r="Q21" s="1184"/>
      <c r="R21" s="1184"/>
      <c r="S21" s="1184"/>
      <c r="T21" s="1191" t="s">
        <v>2069</v>
      </c>
      <c r="U21" s="1073"/>
      <c r="V21" s="1073"/>
      <c r="W21" s="1073"/>
      <c r="X21" s="1070"/>
      <c r="Y21" s="1227"/>
      <c r="Z21" s="1073" t="s">
        <v>2070</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312</v>
      </c>
      <c r="R22" s="1184"/>
      <c r="S22" s="1184"/>
      <c r="T22" s="1191"/>
      <c r="U22" s="1073"/>
      <c r="V22" s="1073" t="s">
        <v>2071</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315</v>
      </c>
      <c r="R23" s="1184"/>
      <c r="S23" s="1184"/>
      <c r="T23" s="1191"/>
      <c r="U23" s="1073"/>
      <c r="V23" s="1073" t="s">
        <v>2072</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737</v>
      </c>
      <c r="R24" s="1184"/>
      <c r="S24" s="1184"/>
      <c r="T24" s="1191"/>
      <c r="U24" s="1073"/>
      <c r="V24" s="1073" t="s">
        <v>2073</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744</v>
      </c>
      <c r="R25" s="1184" t="s">
        <v>312</v>
      </c>
      <c r="S25" s="1184"/>
      <c r="T25" s="1191" t="s">
        <v>2074</v>
      </c>
      <c r="U25" s="1073" t="s">
        <v>2074</v>
      </c>
      <c r="V25" s="1073" t="s">
        <v>2074</v>
      </c>
      <c r="W25" s="1073" t="s">
        <v>2074</v>
      </c>
      <c r="X25" s="1070"/>
      <c r="Y25" s="1227"/>
      <c r="Z25" s="1073"/>
      <c r="AA25" s="1076"/>
      <c r="AB25" s="1073"/>
      <c r="AC25" s="1073"/>
      <c r="AD25" s="1073"/>
    </row>
    <row customHeight="1" ht="18">
      <c r="A26" s="1072"/>
      <c r="B26" s="1126">
        <v>9</v>
      </c>
      <c r="C26" s="1070" t="s">
        <v>661</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733</v>
      </c>
      <c r="P26" s="1184" t="s">
        <v>727</v>
      </c>
      <c r="Q26" s="1184" t="s">
        <v>2075</v>
      </c>
      <c r="R26" s="1184" t="s">
        <v>727</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2076</v>
      </c>
      <c r="V26" s="1191" t="s">
        <v>2076</v>
      </c>
      <c r="W26" s="1191" t="s">
        <v>2076</v>
      </c>
      <c r="X26" s="1070"/>
      <c r="Y26" s="1227"/>
      <c r="Z26" s="1073"/>
      <c r="AA26" s="1076"/>
      <c r="AB26" s="1073"/>
      <c r="AC26" s="1073"/>
      <c r="AD26" s="1073"/>
    </row>
    <row customHeight="1" ht="18">
      <c r="A27" s="1072"/>
      <c r="B27" s="1126">
        <v>10</v>
      </c>
      <c r="C27" s="1070" t="s">
        <v>665</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735</v>
      </c>
      <c r="P27" s="1184" t="s">
        <v>729</v>
      </c>
      <c r="Q27" s="1184" t="s">
        <v>2077</v>
      </c>
      <c r="R27" s="1184" t="s">
        <v>729</v>
      </c>
      <c r="S27" s="1184"/>
      <c r="T27" s="1191" t="s">
        <v>2078</v>
      </c>
      <c r="U27" s="1191" t="s">
        <v>2078</v>
      </c>
      <c r="V27" s="1191" t="s">
        <v>2078</v>
      </c>
      <c r="W27" s="1191" t="s">
        <v>2078</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737</v>
      </c>
      <c r="P28" s="1184"/>
      <c r="Q28" s="1184"/>
      <c r="R28" s="1184"/>
      <c r="S28" s="1184"/>
      <c r="T28" s="1191" t="s">
        <v>2079</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744</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2080</v>
      </c>
      <c r="V29" s="1073"/>
      <c r="W29" s="1073" t="s">
        <v>2080</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746</v>
      </c>
      <c r="P30" s="1184" t="s">
        <v>737</v>
      </c>
      <c r="Q30" s="1184" t="s">
        <v>746</v>
      </c>
      <c r="R30" s="1184" t="s">
        <v>737</v>
      </c>
      <c r="S30" s="1184"/>
      <c r="T30" s="1191" t="s">
        <v>2081</v>
      </c>
      <c r="U30" s="1073" t="s">
        <v>2081</v>
      </c>
      <c r="V30" s="1073" t="s">
        <v>2081</v>
      </c>
      <c r="W30" s="1073" t="s">
        <v>2081</v>
      </c>
      <c r="X30" s="1070"/>
      <c r="Y30" s="1227"/>
      <c r="Z30" s="1073"/>
      <c r="AA30" s="1076" t="s">
        <v>2082</v>
      </c>
      <c r="AB30" s="1076" t="s">
        <v>2082</v>
      </c>
      <c r="AC30" s="1076" t="s">
        <v>2082</v>
      </c>
      <c r="AD30" s="1073"/>
    </row>
    <row customHeight="1" ht="18">
      <c r="A31" s="1072"/>
      <c r="B31" s="1126">
        <v>14</v>
      </c>
      <c r="C31" s="1070" t="s">
        <v>2083</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2084</v>
      </c>
      <c r="P31" s="1184" t="s">
        <v>740</v>
      </c>
      <c r="Q31" s="1184" t="s">
        <v>2084</v>
      </c>
      <c r="R31" s="1184" t="s">
        <v>740</v>
      </c>
      <c r="S31" s="1184"/>
      <c r="T31" s="1192" t="s">
        <v>2085</v>
      </c>
      <c r="U31" s="1073" t="s">
        <v>2085</v>
      </c>
      <c r="V31" s="1073" t="s">
        <v>2085</v>
      </c>
      <c r="W31" s="1073" t="s">
        <v>2085</v>
      </c>
      <c r="X31" s="1070"/>
      <c r="Y31" s="1227"/>
      <c r="Z31" s="1073"/>
      <c r="AA31" s="1076"/>
      <c r="AB31" s="1076"/>
      <c r="AC31" s="1076"/>
      <c r="AD31" s="1073"/>
    </row>
    <row customHeight="1" ht="36">
      <c r="A32" s="1072"/>
      <c r="B32" s="1126">
        <v>15</v>
      </c>
      <c r="C32" s="1070" t="s">
        <v>2086</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2087</v>
      </c>
      <c r="P32" s="1184" t="s">
        <v>742</v>
      </c>
      <c r="Q32" s="1184" t="s">
        <v>2087</v>
      </c>
      <c r="R32" s="1184" t="s">
        <v>742</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2088</v>
      </c>
      <c r="V32" s="1073" t="s">
        <v>2088</v>
      </c>
      <c r="W32" s="1073" t="s">
        <v>2088</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748</v>
      </c>
      <c r="P33" s="1184" t="s">
        <v>744</v>
      </c>
      <c r="Q33" s="1184" t="s">
        <v>748</v>
      </c>
      <c r="R33" s="1184" t="s">
        <v>744</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2089</v>
      </c>
      <c r="V33" s="1073" t="s">
        <v>2089</v>
      </c>
      <c r="W33" s="1073" t="s">
        <v>2090</v>
      </c>
      <c r="X33" s="1070"/>
      <c r="Y33" s="1227"/>
      <c r="Z33" s="1073"/>
      <c r="AA33" s="1076" t="s">
        <v>2091</v>
      </c>
      <c r="AB33" s="1076" t="s">
        <v>2091</v>
      </c>
      <c r="AC33" s="1076" t="s">
        <v>2091</v>
      </c>
      <c r="AD33" s="1073"/>
    </row>
    <row customHeight="1" ht="27">
      <c r="A34" s="1072"/>
      <c r="B34" s="1126">
        <v>17</v>
      </c>
      <c r="C34" s="1070" t="s">
        <v>2092</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v>
      </c>
      <c r="N34" s="1071" t="str">
        <f>IF(K34=0,"",K34)</f>
        <v/>
      </c>
      <c r="O34" s="1184" t="s">
        <v>2093</v>
      </c>
      <c r="P34" s="1184" t="s">
        <v>2075</v>
      </c>
      <c r="Q34" s="1184" t="s">
        <v>2093</v>
      </c>
      <c r="R34" s="1184" t="s">
        <v>2075</v>
      </c>
      <c r="S34" s="1184"/>
      <c r="T34" s="1193" t="s">
        <v>2094</v>
      </c>
      <c r="U34" s="1073" t="s">
        <v>2094</v>
      </c>
      <c r="V34" s="1073" t="s">
        <v>2094</v>
      </c>
      <c r="W34" s="1073" t="s">
        <v>2095</v>
      </c>
      <c r="X34" s="1070"/>
      <c r="Y34" s="1227"/>
      <c r="Z34" s="1073"/>
      <c r="AA34" s="1076"/>
      <c r="AB34" s="1073"/>
      <c r="AC34" s="1073"/>
      <c r="AD34" s="1073"/>
    </row>
    <row customHeight="1" ht="45">
      <c r="A35" s="1072"/>
      <c r="B35" s="1126">
        <v>18</v>
      </c>
      <c r="C35" s="1070" t="s">
        <v>2096</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2097</v>
      </c>
      <c r="P35" s="1184" t="s">
        <v>2077</v>
      </c>
      <c r="Q35" s="1184" t="s">
        <v>2097</v>
      </c>
      <c r="R35" s="1184" t="s">
        <v>2077</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2098</v>
      </c>
      <c r="V35" s="1073" t="s">
        <v>2098</v>
      </c>
      <c r="W35" s="1073" t="s">
        <v>2098</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750</v>
      </c>
      <c r="P36" s="1184" t="s">
        <v>746</v>
      </c>
      <c r="Q36" s="1184" t="s">
        <v>750</v>
      </c>
      <c r="R36" s="1184" t="s">
        <v>746</v>
      </c>
      <c r="S36" s="1184"/>
      <c r="T36" s="1191" t="s">
        <v>2099</v>
      </c>
      <c r="U36" s="1073" t="s">
        <v>2099</v>
      </c>
      <c r="V36" s="1073" t="s">
        <v>2099</v>
      </c>
      <c r="W36" s="1073" t="s">
        <v>2099</v>
      </c>
      <c r="X36" s="1070"/>
      <c r="Y36" s="1227"/>
      <c r="Z36" s="1073"/>
      <c r="AA36" s="1076"/>
      <c r="AB36" s="1073"/>
      <c r="AC36" s="1073"/>
      <c r="AD36" s="1073"/>
    </row>
    <row customHeight="1" ht="18">
      <c r="A37" s="1072"/>
      <c r="B37" s="1126">
        <v>20</v>
      </c>
      <c r="C37" s="1070" t="s">
        <v>2100</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2101</v>
      </c>
      <c r="P37" s="1184" t="s">
        <v>2084</v>
      </c>
      <c r="Q37" s="1184" t="s">
        <v>2101</v>
      </c>
      <c r="R37" s="1184" t="s">
        <v>2084</v>
      </c>
      <c r="S37" s="1184"/>
      <c r="T37" s="1191" t="s">
        <v>2102</v>
      </c>
      <c r="U37" s="1073" t="s">
        <v>2102</v>
      </c>
      <c r="V37" s="1073" t="s">
        <v>2102</v>
      </c>
      <c r="W37" s="1073" t="s">
        <v>2102</v>
      </c>
      <c r="X37" s="1070"/>
      <c r="Y37" s="1227"/>
      <c r="Z37" s="1073"/>
      <c r="AA37" s="1076"/>
      <c r="AB37" s="1073"/>
      <c r="AC37" s="1073"/>
      <c r="AD37" s="1073"/>
    </row>
    <row customHeight="1" ht="18">
      <c r="A38" s="1072"/>
      <c r="B38" s="1126">
        <v>21</v>
      </c>
      <c r="C38" s="1070" t="s">
        <v>2103</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2104</v>
      </c>
      <c r="P38" s="1184" t="s">
        <v>2087</v>
      </c>
      <c r="Q38" s="1184" t="s">
        <v>2104</v>
      </c>
      <c r="R38" s="1184" t="s">
        <v>2087</v>
      </c>
      <c r="S38" s="1184"/>
      <c r="T38" s="1191" t="s">
        <v>2105</v>
      </c>
      <c r="U38" s="1073" t="s">
        <v>2105</v>
      </c>
      <c r="V38" s="1073" t="s">
        <v>2105</v>
      </c>
      <c r="W38" s="1073" t="s">
        <v>2105</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холодного водоснабжения</v>
      </c>
      <c r="N39" s="1071" t="str">
        <f>IF(K39=0,"",K39)</f>
        <v/>
      </c>
      <c r="O39" s="1184" t="s">
        <v>754</v>
      </c>
      <c r="P39" s="1184" t="s">
        <v>748</v>
      </c>
      <c r="Q39" s="1184" t="s">
        <v>754</v>
      </c>
      <c r="R39" s="1184" t="s">
        <v>748</v>
      </c>
      <c r="S39" s="1184"/>
      <c r="T39" s="1191" t="s">
        <v>2106</v>
      </c>
      <c r="U39" s="1073" t="s">
        <v>2107</v>
      </c>
      <c r="V39" s="1073" t="s">
        <v>2108</v>
      </c>
      <c r="W39" s="1073" t="s">
        <v>2109</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2110</v>
      </c>
      <c r="P40" s="1184" t="s">
        <v>750</v>
      </c>
      <c r="Q40" s="1184" t="s">
        <v>2110</v>
      </c>
      <c r="R40" s="1184" t="s">
        <v>750</v>
      </c>
      <c r="S40" s="1184"/>
      <c r="T40" s="1070" t="s">
        <v>2111</v>
      </c>
      <c r="U40" s="1070" t="s">
        <v>2111</v>
      </c>
      <c r="V40" s="1070" t="s">
        <v>2111</v>
      </c>
      <c r="W40" s="1070" t="s">
        <v>2111</v>
      </c>
      <c r="X40" s="1070"/>
      <c r="Y40" s="1227"/>
      <c r="Z40" s="1073" t="s">
        <v>2112</v>
      </c>
      <c r="AA40" s="1076" t="s">
        <v>2112</v>
      </c>
      <c r="AB40" s="1076" t="s">
        <v>2112</v>
      </c>
      <c r="AC40" s="1076" t="s">
        <v>2112</v>
      </c>
      <c r="AD40" s="1073"/>
    </row>
    <row customHeight="1" ht="27">
      <c r="A41" s="1072"/>
      <c r="B41" s="1126">
        <v>24</v>
      </c>
      <c r="C41" s="1070" t="s">
        <v>2113</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2114</v>
      </c>
      <c r="P41" s="1184" t="s">
        <v>2101</v>
      </c>
      <c r="Q41" s="1184" t="s">
        <v>2114</v>
      </c>
      <c r="R41" s="1184" t="s">
        <v>2101</v>
      </c>
      <c r="S41" s="1184"/>
      <c r="T41" s="1070" t="s">
        <v>2115</v>
      </c>
      <c r="U41" s="1070" t="s">
        <v>2115</v>
      </c>
      <c r="V41" s="1070" t="s">
        <v>2115</v>
      </c>
      <c r="W41" s="1070" t="s">
        <v>2115</v>
      </c>
      <c r="X41" s="1070"/>
      <c r="Y41" s="1227"/>
      <c r="Z41" s="1073" t="s">
        <v>2116</v>
      </c>
      <c r="AA41" s="1073" t="s">
        <v>2116</v>
      </c>
      <c r="AB41" s="1073" t="s">
        <v>2116</v>
      </c>
      <c r="AC41" s="1073" t="s">
        <v>2116</v>
      </c>
      <c r="AD41" s="1073"/>
    </row>
    <row customHeight="1" ht="27">
      <c r="A42" s="1072"/>
      <c r="B42" s="1126">
        <v>25</v>
      </c>
      <c r="C42" s="1070" t="s">
        <v>2117</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2118</v>
      </c>
      <c r="P42" s="1184" t="s">
        <v>2104</v>
      </c>
      <c r="Q42" s="1184" t="s">
        <v>2118</v>
      </c>
      <c r="R42" s="1184" t="s">
        <v>2104</v>
      </c>
      <c r="S42" s="1184"/>
      <c r="T42" s="1070" t="s">
        <v>2119</v>
      </c>
      <c r="U42" s="1070" t="s">
        <v>2119</v>
      </c>
      <c r="V42" s="1070" t="s">
        <v>2119</v>
      </c>
      <c r="W42" s="1070" t="s">
        <v>2119</v>
      </c>
      <c r="X42" s="1070"/>
      <c r="Y42" s="1227"/>
      <c r="Z42" s="1073" t="s">
        <v>2120</v>
      </c>
      <c r="AA42" s="1073" t="s">
        <v>2120</v>
      </c>
      <c r="AB42" s="1073" t="s">
        <v>2120</v>
      </c>
      <c r="AC42" s="1073" t="s">
        <v>2120</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2121</v>
      </c>
      <c r="P43" s="1184" t="s">
        <v>754</v>
      </c>
      <c r="Q43" s="1184" t="s">
        <v>2121</v>
      </c>
      <c r="R43" s="1184" t="s">
        <v>754</v>
      </c>
      <c r="S43" s="1184"/>
      <c r="T43" s="1070" t="s">
        <v>2122</v>
      </c>
      <c r="U43" s="1070" t="s">
        <v>2122</v>
      </c>
      <c r="V43" s="1070" t="s">
        <v>2122</v>
      </c>
      <c r="W43" s="1070" t="s">
        <v>2122</v>
      </c>
      <c r="X43" s="1070"/>
      <c r="Y43" s="1227"/>
      <c r="Z43" s="1073" t="s">
        <v>2123</v>
      </c>
      <c r="AA43" s="1073" t="s">
        <v>2123</v>
      </c>
      <c r="AB43" s="1073" t="s">
        <v>2123</v>
      </c>
      <c r="AC43" s="1073" t="s">
        <v>2123</v>
      </c>
      <c r="AD43" s="1073"/>
    </row>
    <row customHeight="1" ht="27">
      <c r="A44" s="1072"/>
      <c r="B44" s="1126">
        <v>27</v>
      </c>
      <c r="C44" s="1070" t="s">
        <v>2124</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2125</v>
      </c>
      <c r="P44" s="1184" t="s">
        <v>2126</v>
      </c>
      <c r="Q44" s="1184" t="s">
        <v>2125</v>
      </c>
      <c r="R44" s="1184" t="s">
        <v>2126</v>
      </c>
      <c r="S44" s="1184"/>
      <c r="T44" s="1070" t="s">
        <v>2115</v>
      </c>
      <c r="U44" s="1070" t="s">
        <v>2115</v>
      </c>
      <c r="V44" s="1070" t="s">
        <v>2115</v>
      </c>
      <c r="W44" s="1070" t="s">
        <v>2115</v>
      </c>
      <c r="X44" s="1070"/>
      <c r="Y44" s="1227"/>
      <c r="Z44" s="1073" t="s">
        <v>2127</v>
      </c>
      <c r="AA44" s="1073" t="s">
        <v>2127</v>
      </c>
      <c r="AB44" s="1073" t="s">
        <v>2127</v>
      </c>
      <c r="AC44" s="1073" t="s">
        <v>2127</v>
      </c>
      <c r="AD44" s="1073"/>
    </row>
    <row customHeight="1" ht="27">
      <c r="A45" s="1072"/>
      <c r="B45" s="1126">
        <v>28</v>
      </c>
      <c r="C45" s="1070" t="s">
        <v>2128</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2129</v>
      </c>
      <c r="P45" s="1184" t="s">
        <v>2130</v>
      </c>
      <c r="Q45" s="1184" t="s">
        <v>2129</v>
      </c>
      <c r="R45" s="1184" t="s">
        <v>2130</v>
      </c>
      <c r="S45" s="1184"/>
      <c r="T45" s="1070" t="s">
        <v>2119</v>
      </c>
      <c r="U45" s="1070" t="s">
        <v>2119</v>
      </c>
      <c r="V45" s="1070" t="s">
        <v>2119</v>
      </c>
      <c r="W45" s="1070" t="s">
        <v>2119</v>
      </c>
      <c r="X45" s="1070"/>
      <c r="Y45" s="1227"/>
      <c r="Z45" s="1073" t="s">
        <v>2131</v>
      </c>
      <c r="AA45" s="1073" t="s">
        <v>2131</v>
      </c>
      <c r="AB45" s="1073" t="s">
        <v>2131</v>
      </c>
      <c r="AC45" s="1073" t="s">
        <v>2131</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2132</v>
      </c>
      <c r="P46" s="1184" t="s">
        <v>2110</v>
      </c>
      <c r="Q46" s="1184" t="s">
        <v>2132</v>
      </c>
      <c r="R46" s="1184" t="s">
        <v>2110</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2133</v>
      </c>
      <c r="V46" s="1070" t="s">
        <v>2133</v>
      </c>
      <c r="W46" s="1070" t="s">
        <v>2133</v>
      </c>
      <c r="X46" s="1070"/>
      <c r="Y46" s="1227"/>
      <c r="Z46" s="1073" t="s">
        <v>2134</v>
      </c>
      <c r="AA46" s="1073" t="s">
        <v>2135</v>
      </c>
      <c r="AB46" s="1073" t="s">
        <v>2135</v>
      </c>
      <c r="AC46" s="1073" t="s">
        <v>2135</v>
      </c>
      <c r="AD46" s="1073"/>
    </row>
    <row customHeight="1" ht="54">
      <c r="A47" s="1072"/>
      <c r="B47" s="1126">
        <v>30</v>
      </c>
      <c r="C47" s="1070" t="s">
        <v>2136</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2137</v>
      </c>
      <c r="P47" s="1184" t="s">
        <v>2114</v>
      </c>
      <c r="Q47" s="1184" t="s">
        <v>2137</v>
      </c>
      <c r="R47" s="1184" t="s">
        <v>2114</v>
      </c>
      <c r="S47" s="1184"/>
      <c r="T47" s="1070" t="s">
        <v>2138</v>
      </c>
      <c r="U47" s="1070" t="s">
        <v>2138</v>
      </c>
      <c r="V47" s="1070" t="s">
        <v>2138</v>
      </c>
      <c r="W47" s="1070" t="s">
        <v>2138</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2121</v>
      </c>
      <c r="Q48" s="1184" t="s">
        <v>2139</v>
      </c>
      <c r="R48" s="1184" t="s">
        <v>2121</v>
      </c>
      <c r="S48" s="1184"/>
      <c r="T48" s="1070"/>
      <c r="U48" s="1070" t="s">
        <v>2140</v>
      </c>
      <c r="V48" s="1070" t="s">
        <v>2141</v>
      </c>
      <c r="W48" s="1070" t="s">
        <v>2141</v>
      </c>
      <c r="X48" s="1070"/>
      <c r="Y48" s="1227"/>
      <c r="Z48" s="1073"/>
      <c r="AA48" s="1076" t="s">
        <v>2135</v>
      </c>
      <c r="AB48" s="1076" t="s">
        <v>2135</v>
      </c>
      <c r="AC48" s="1076" t="s">
        <v>2135</v>
      </c>
      <c r="AD48" s="1073"/>
    </row>
    <row customHeight="1" ht="54">
      <c r="A49" s="1072"/>
      <c r="B49" s="1126">
        <v>32</v>
      </c>
      <c r="C49" s="1070" t="s">
        <v>2142</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2125</v>
      </c>
      <c r="Q49" s="1184" t="s">
        <v>2143</v>
      </c>
      <c r="R49" s="1184" t="s">
        <v>2125</v>
      </c>
      <c r="S49" s="1184"/>
      <c r="T49" s="1070"/>
      <c r="U49" s="1070" t="s">
        <v>2138</v>
      </c>
      <c r="V49" s="1070" t="s">
        <v>2138</v>
      </c>
      <c r="W49" s="1070" t="s">
        <v>2138</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2139</v>
      </c>
      <c r="P50" s="1184" t="s">
        <v>2132</v>
      </c>
      <c r="Q50" s="1184" t="s">
        <v>2144</v>
      </c>
      <c r="R50" s="1184" t="s">
        <v>2132</v>
      </c>
      <c r="S50" s="1184"/>
      <c r="T50" s="1070" t="s">
        <v>2145</v>
      </c>
      <c r="U50" s="1070" t="s">
        <v>2146</v>
      </c>
      <c r="V50" s="1070" t="s">
        <v>2147</v>
      </c>
      <c r="W50" s="1070" t="s">
        <v>2148</v>
      </c>
      <c r="X50" s="1070"/>
      <c r="Y50" s="1227"/>
      <c r="Z50" s="1073" t="s">
        <v>2149</v>
      </c>
      <c r="AA50" s="1076" t="s">
        <v>2150</v>
      </c>
      <c r="AB50" s="1076" t="s">
        <v>2150</v>
      </c>
      <c r="AC50" s="1076" t="s">
        <v>2150</v>
      </c>
      <c r="AD50" s="1073"/>
    </row>
    <row customHeight="1" ht="27">
      <c r="A51" s="1072"/>
      <c r="B51" s="1126">
        <v>34</v>
      </c>
      <c r="C51" s="1070" t="s">
        <v>2151</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90</v>
      </c>
      <c r="P51" s="1184"/>
      <c r="Q51" s="1184"/>
      <c r="R51" s="1184"/>
      <c r="S51" s="1184"/>
      <c r="T51" s="1070" t="s">
        <v>2152</v>
      </c>
      <c r="U51" s="1070"/>
      <c r="V51" s="1070"/>
      <c r="W51" s="1070"/>
      <c r="X51" s="1070"/>
      <c r="Y51" s="1227"/>
      <c r="Z51" s="1073"/>
      <c r="AA51" s="1076"/>
      <c r="AB51" s="1076"/>
      <c r="AC51" s="1076"/>
      <c r="AD51" s="1073"/>
    </row>
    <row customHeight="1" ht="36">
      <c r="A52" s="1072"/>
      <c r="B52" s="1126">
        <v>35</v>
      </c>
      <c r="C52" s="1070" t="s">
        <v>2045</v>
      </c>
      <c r="D52" s="1194" t="s">
        <v>2045</v>
      </c>
      <c r="E52" s="1070" t="s">
        <v>2045</v>
      </c>
      <c r="F52" s="1070" t="s">
        <v>2045</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холодного водоснабжения,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2153</v>
      </c>
      <c r="U52" s="1070" t="s">
        <v>2154</v>
      </c>
      <c r="V52" s="1070" t="s">
        <v>2155</v>
      </c>
      <c r="W52" s="1070" t="s">
        <v>2156</v>
      </c>
      <c r="X52" s="1070"/>
      <c r="Y52" s="1227"/>
      <c r="Z52" s="1073" t="s">
        <v>758</v>
      </c>
      <c r="AA52" s="1076" t="s">
        <v>758</v>
      </c>
      <c r="AB52" s="1076" t="s">
        <v>758</v>
      </c>
      <c r="AC52" s="1076" t="s">
        <v>758</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762</v>
      </c>
      <c r="P53" s="1184" t="s">
        <v>329</v>
      </c>
      <c r="Q53" s="1184" t="s">
        <v>329</v>
      </c>
      <c r="R53" s="1184" t="s">
        <v>329</v>
      </c>
      <c r="S53" s="1184"/>
      <c r="T53" s="1070" t="s">
        <v>2157</v>
      </c>
      <c r="U53" s="1070" t="s">
        <v>2157</v>
      </c>
      <c r="V53" s="1070" t="s">
        <v>2157</v>
      </c>
      <c r="W53" s="1070" t="s">
        <v>2157</v>
      </c>
      <c r="X53" s="1070"/>
      <c r="Y53" s="1227"/>
      <c r="Z53" s="1073"/>
      <c r="AA53" s="1076"/>
      <c r="AB53" s="1073"/>
      <c r="AC53" s="1073"/>
      <c r="AD53" s="1073"/>
    </row>
    <row customHeight="1" ht="18">
      <c r="A54" s="1072"/>
      <c r="B54" s="1126">
        <v>37</v>
      </c>
      <c r="C54" s="1070" t="s">
        <v>2051</v>
      </c>
      <c r="D54" s="1194" t="s">
        <v>2051</v>
      </c>
      <c r="E54" s="1070" t="s">
        <v>2051</v>
      </c>
      <c r="F54" s="1070" t="s">
        <v>2051</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91</v>
      </c>
      <c r="Q54" s="1184" t="s">
        <v>91</v>
      </c>
      <c r="R54" s="1184" t="s">
        <v>91</v>
      </c>
      <c r="S54" s="1184"/>
      <c r="T54" s="1070" t="s">
        <v>760</v>
      </c>
      <c r="U54" s="1070" t="s">
        <v>760</v>
      </c>
      <c r="V54" s="1070" t="s">
        <v>760</v>
      </c>
      <c r="W54" s="1070" t="s">
        <v>760</v>
      </c>
      <c r="X54" s="1070"/>
      <c r="Y54" s="1227"/>
      <c r="Z54" s="1073" t="s">
        <v>761</v>
      </c>
      <c r="AA54" s="1073" t="s">
        <v>761</v>
      </c>
      <c r="AB54" s="1073" t="s">
        <v>761</v>
      </c>
      <c r="AC54" s="1073" t="s">
        <v>761</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762</v>
      </c>
      <c r="Q55" s="1184" t="s">
        <v>762</v>
      </c>
      <c r="R55" s="1184" t="s">
        <v>762</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2158</v>
      </c>
      <c r="V55" s="1070" t="s">
        <v>2158</v>
      </c>
      <c r="W55" s="1070" t="s">
        <v>2158</v>
      </c>
      <c r="X55" s="1070"/>
      <c r="Y55" s="1227"/>
      <c r="Z55" s="1073" t="s">
        <v>2159</v>
      </c>
      <c r="AA55" s="1073" t="s">
        <v>2159</v>
      </c>
      <c r="AB55" s="1073" t="s">
        <v>2159</v>
      </c>
      <c r="AC55" s="1073" t="s">
        <v>2159</v>
      </c>
      <c r="AD55" s="1073"/>
    </row>
    <row customHeight="1" ht="27">
      <c r="A56" s="1072"/>
      <c r="B56" s="1126">
        <v>39</v>
      </c>
      <c r="C56" s="1070" t="s">
        <v>1030</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1147</v>
      </c>
      <c r="P56" s="1184" t="s">
        <v>765</v>
      </c>
      <c r="Q56" s="1184" t="s">
        <v>765</v>
      </c>
      <c r="R56" s="1184" t="s">
        <v>765</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2160</v>
      </c>
      <c r="V56" s="1070" t="s">
        <v>2160</v>
      </c>
      <c r="W56" s="1070" t="s">
        <v>2160</v>
      </c>
      <c r="X56" s="1070"/>
      <c r="Y56" s="1227"/>
      <c r="Z56" s="1073" t="s">
        <v>767</v>
      </c>
      <c r="AA56" s="1073" t="s">
        <v>767</v>
      </c>
      <c r="AB56" s="1073" t="s">
        <v>767</v>
      </c>
      <c r="AC56" s="1073" t="s">
        <v>767</v>
      </c>
      <c r="AD56" s="1073"/>
    </row>
    <row customHeight="1" ht="27">
      <c r="A57" s="1072"/>
      <c r="B57" s="1126">
        <v>40</v>
      </c>
      <c r="C57" s="1070" t="s">
        <v>1032</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2161</v>
      </c>
      <c r="P57" s="1184" t="s">
        <v>768</v>
      </c>
      <c r="Q57" s="1184" t="s">
        <v>768</v>
      </c>
      <c r="R57" s="1184" t="s">
        <v>768</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2162</v>
      </c>
      <c r="V57" s="1070" t="s">
        <v>2162</v>
      </c>
      <c r="W57" s="1070" t="s">
        <v>2162</v>
      </c>
      <c r="X57" s="1070"/>
      <c r="Y57" s="1227"/>
      <c r="Z57" s="1073" t="s">
        <v>770</v>
      </c>
      <c r="AA57" s="1073" t="s">
        <v>770</v>
      </c>
      <c r="AB57" s="1073" t="s">
        <v>770</v>
      </c>
      <c r="AC57" s="1073" t="s">
        <v>770</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890</v>
      </c>
      <c r="P58" s="1184" t="s">
        <v>804</v>
      </c>
      <c r="Q58" s="1184" t="s">
        <v>804</v>
      </c>
      <c r="R58" s="1184" t="s">
        <v>804</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2163</v>
      </c>
      <c r="V58" s="1070" t="s">
        <v>2163</v>
      </c>
      <c r="W58" s="1070" t="s">
        <v>2163</v>
      </c>
      <c r="X58" s="1070"/>
      <c r="Y58" s="1227"/>
      <c r="Z58" s="1073"/>
      <c r="AA58" s="1076"/>
      <c r="AB58" s="1073"/>
      <c r="AC58" s="1073"/>
      <c r="AD58" s="1073"/>
    </row>
    <row customHeight="1" ht="36">
      <c r="A59" s="1072"/>
      <c r="B59" s="1126">
        <v>42</v>
      </c>
      <c r="C59" s="1070">
        <v>3</v>
      </c>
      <c r="D59" s="1194" t="s">
        <v>2151</v>
      </c>
      <c r="E59" s="1070" t="s">
        <v>2151</v>
      </c>
      <c r="F59" s="1070" t="s">
        <v>2151</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холодного водоснабжения</v>
      </c>
      <c r="N59" s="1071" t="str">
        <f>IF(K59=0,"",K59)</f>
        <v/>
      </c>
      <c r="O59" s="1184"/>
      <c r="P59" s="1184" t="s">
        <v>111</v>
      </c>
      <c r="Q59" s="1184" t="s">
        <v>111</v>
      </c>
      <c r="R59" s="1184" t="s">
        <v>111</v>
      </c>
      <c r="S59" s="1184"/>
      <c r="T59" s="1070"/>
      <c r="U59" s="1070" t="s">
        <v>2164</v>
      </c>
      <c r="V59" s="1070" t="s">
        <v>2165</v>
      </c>
      <c r="W59" s="1070" t="s">
        <v>2166</v>
      </c>
      <c r="X59" s="1070"/>
      <c r="Y59" s="1227"/>
      <c r="Z59" s="1073"/>
      <c r="AA59" s="1076"/>
      <c r="AB59" s="1073"/>
      <c r="AC59" s="1073"/>
      <c r="AD59" s="1073"/>
    </row>
    <row customHeight="1" ht="81">
      <c r="A60" s="1072"/>
      <c r="B60" s="1126">
        <v>43</v>
      </c>
      <c r="C60" s="1070" t="s">
        <v>2167</v>
      </c>
      <c r="D60" s="1194" t="s">
        <v>2167</v>
      </c>
      <c r="E60" s="1070" t="s">
        <v>2167</v>
      </c>
      <c r="F60" s="1070" t="s">
        <v>2167</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92</v>
      </c>
      <c r="P60" s="1184" t="s">
        <v>92</v>
      </c>
      <c r="Q60" s="1184" t="s">
        <v>92</v>
      </c>
      <c r="R60" s="1184" t="s">
        <v>92</v>
      </c>
      <c r="S60" s="1184"/>
      <c r="T60" s="1070" t="s">
        <v>638</v>
      </c>
      <c r="U60" s="1070" t="s">
        <v>638</v>
      </c>
      <c r="V60" s="1070" t="s">
        <v>638</v>
      </c>
      <c r="W60" s="1070" t="s">
        <v>638</v>
      </c>
      <c r="X60" s="1070"/>
      <c r="Y60" s="1227"/>
      <c r="Z60" s="1073" t="s">
        <v>2168</v>
      </c>
      <c r="AA60" s="1076" t="s">
        <v>2169</v>
      </c>
      <c r="AB60" s="1073" t="s">
        <v>2170</v>
      </c>
      <c r="AC60" s="1073" t="s">
        <v>2169</v>
      </c>
      <c r="AD60" s="1073"/>
    </row>
    <row customHeight="1" ht="9">
      <c r="A61" s="1072"/>
      <c r="B61" s="1126">
        <v>44</v>
      </c>
      <c r="C61" s="1070"/>
      <c r="D61" s="1194" t="s">
        <v>2171</v>
      </c>
      <c r="E61" s="1070"/>
      <c r="F61" s="1070"/>
      <c r="G61" s="1070"/>
      <c r="H61" s="1118"/>
      <c r="I61" s="1232" t="str">
        <f>INDEX(TEMPLATE_NUMBER_POINT_FHD,B61,MATCH(TEMPLATE_SPHERE,TEMPLATE_SPHERE_LIST_FOR_NOTE,0))</f>
        <v>7</v>
      </c>
      <c r="J61" s="1232" t="str">
        <f>INDEX(TEMPLATE_DATA_POINT_FHD,B61,MATCH(TEMPLATE_SPHERE,TEMPLATE_SPHERE_LIST_FOR_NOTE,0))</f>
        <v>Объём поднятой воды</v>
      </c>
      <c r="K61" s="1232">
        <f>INDEX(TEMPLATE_NOTE_POINT_FHD,B61,MATCH(TEMPLATE_SPHERE,TEMPLATE_SPHERE_LIST_FOR_NOTE,0))</f>
        <v>0</v>
      </c>
      <c r="L61" s="1071" t="str">
        <f>IF(I61=0,"",I61)</f>
        <v>7</v>
      </c>
      <c r="M61" s="1071" t="str">
        <f>IF(J61=0,"",J61)</f>
        <v>Объём поднятой воды</v>
      </c>
      <c r="N61" s="1071" t="str">
        <f>IF(K61=0,"",K61)</f>
        <v/>
      </c>
      <c r="O61" s="1184"/>
      <c r="P61" s="1184" t="s">
        <v>93</v>
      </c>
      <c r="Q61" s="1184"/>
      <c r="R61" s="1184"/>
      <c r="S61" s="1184"/>
      <c r="T61" s="1070"/>
      <c r="U61" s="1070" t="s">
        <v>2172</v>
      </c>
      <c r="V61" s="1070"/>
      <c r="W61" s="1070"/>
      <c r="X61" s="1070"/>
      <c r="Y61" s="1227"/>
      <c r="Z61" s="1073"/>
      <c r="AA61" s="1076"/>
      <c r="AB61" s="1073"/>
      <c r="AC61" s="1073"/>
      <c r="AD61" s="1073"/>
    </row>
    <row customHeight="1" ht="9">
      <c r="A62" s="1072"/>
      <c r="B62" s="1126">
        <v>45</v>
      </c>
      <c r="C62" s="1070"/>
      <c r="D62" s="1194" t="s">
        <v>2173</v>
      </c>
      <c r="E62" s="1070"/>
      <c r="F62" s="1070"/>
      <c r="G62" s="1070"/>
      <c r="H62" s="1118"/>
      <c r="I62" s="1232" t="str">
        <f>INDEX(TEMPLATE_NUMBER_POINT_FHD,B62,MATCH(TEMPLATE_SPHERE,TEMPLATE_SPHERE_LIST_FOR_NOTE,0))</f>
        <v>8</v>
      </c>
      <c r="J62" s="1232" t="str">
        <f>INDEX(TEMPLATE_DATA_POINT_FHD,B62,MATCH(TEMPLATE_SPHERE,TEMPLATE_SPHERE_LIST_FOR_NOTE,0))</f>
        <v>Объём покупной воды</v>
      </c>
      <c r="K62" s="1232">
        <f>INDEX(TEMPLATE_NOTE_POINT_FHD,B62,MATCH(TEMPLATE_SPHERE,TEMPLATE_SPHERE_LIST_FOR_NOTE,0))</f>
        <v>0</v>
      </c>
      <c r="L62" s="1071" t="str">
        <f>IF(I62=0,"",I62)</f>
        <v>8</v>
      </c>
      <c r="M62" s="1071" t="str">
        <f>IF(J62=0,"",J62)</f>
        <v>Объём покупной воды</v>
      </c>
      <c r="N62" s="1071" t="str">
        <f>IF(K62=0,"",K62)</f>
        <v/>
      </c>
      <c r="O62" s="1184"/>
      <c r="P62" s="1184" t="s">
        <v>112</v>
      </c>
      <c r="Q62" s="1184"/>
      <c r="R62" s="1184"/>
      <c r="S62" s="1184"/>
      <c r="T62" s="1070"/>
      <c r="U62" s="1070" t="s">
        <v>2174</v>
      </c>
      <c r="V62" s="1070"/>
      <c r="W62" s="1070"/>
      <c r="X62" s="1070"/>
      <c r="Y62" s="1227"/>
      <c r="Z62" s="1073"/>
      <c r="AA62" s="1076"/>
      <c r="AB62" s="1073"/>
      <c r="AC62" s="1073"/>
      <c r="AD62" s="1073"/>
    </row>
    <row customHeight="1" ht="18">
      <c r="A63" s="1072"/>
      <c r="B63" s="1126">
        <v>46</v>
      </c>
      <c r="C63" s="1070"/>
      <c r="D63" s="1194" t="s">
        <v>2175</v>
      </c>
      <c r="E63" s="1070"/>
      <c r="F63" s="1070"/>
      <c r="G63" s="1070"/>
      <c r="H63" s="1118"/>
      <c r="I63" s="1232" t="str">
        <f>INDEX(TEMPLATE_NUMBER_POINT_FHD,B63,MATCH(TEMPLATE_SPHERE,TEMPLATE_SPHERE_LIST_FOR_NOTE,0))</f>
        <v>9</v>
      </c>
      <c r="J63" s="1232" t="str">
        <f>INDEX(TEMPLATE_DATA_POINT_FHD,B63,MATCH(TEMPLATE_SPHERE,TEMPLATE_SPHERE_LIST_FOR_NOTE,0))</f>
        <v>Объём воды, пропущенной через очистные сооружения</v>
      </c>
      <c r="K63" s="1232">
        <f>INDEX(TEMPLATE_NOTE_POINT_FHD,B63,MATCH(TEMPLATE_SPHERE,TEMPLATE_SPHERE_LIST_FOR_NOTE,0))</f>
        <v>0</v>
      </c>
      <c r="L63" s="1071" t="str">
        <f>IF(I63=0,"",I63)</f>
        <v>9</v>
      </c>
      <c r="M63" s="1071" t="str">
        <f>IF(J63=0,"",J63)</f>
        <v>Объём воды, пропущенной через очистные сооружения</v>
      </c>
      <c r="N63" s="1071" t="str">
        <f>IF(K63=0,"",K63)</f>
        <v/>
      </c>
      <c r="O63" s="1184"/>
      <c r="P63" s="1184" t="s">
        <v>148</v>
      </c>
      <c r="Q63" s="1184"/>
      <c r="R63" s="1184"/>
      <c r="S63" s="1184"/>
      <c r="T63" s="1070"/>
      <c r="U63" s="1070" t="s">
        <v>2176</v>
      </c>
      <c r="V63" s="1070"/>
      <c r="W63" s="1070"/>
      <c r="X63" s="1070"/>
      <c r="Y63" s="1227"/>
      <c r="Z63" s="1073"/>
      <c r="AA63" s="1076"/>
      <c r="AB63" s="1073"/>
      <c r="AC63" s="1073"/>
      <c r="AD63" s="1073"/>
    </row>
    <row customHeight="1" ht="18">
      <c r="A64" s="1072"/>
      <c r="B64" s="1126">
        <v>47</v>
      </c>
      <c r="C64" s="1070"/>
      <c r="D64" s="1194" t="s">
        <v>2177</v>
      </c>
      <c r="E64" s="1070"/>
      <c r="F64" s="1070"/>
      <c r="G64" s="1070"/>
      <c r="H64" s="1118"/>
      <c r="I64" s="1232" t="str">
        <f>INDEX(TEMPLATE_NUMBER_POINT_FHD,B64,MATCH(TEMPLATE_SPHERE,TEMPLATE_SPHERE_LIST_FOR_NOTE,0))</f>
        <v>10</v>
      </c>
      <c r="J64" s="1232" t="str">
        <f>INDEX(TEMPLATE_DATA_POINT_FHD,B64,MATCH(TEMPLATE_SPHERE,TEMPLATE_SPHERE_LIST_FOR_NOTE,0))</f>
        <v>Объём отпущенной потребителям воды, в том числе:</v>
      </c>
      <c r="K64" s="1232" t="str">
        <f>INDEX(TEMPLATE_NOTE_POINT_FHD,B64,MATCH(TEMPLATE_SPHERE,TEMPLATE_SPHERE_LIST_FOR_NOTE,0))</f>
        <v>Указывается общий объем отпущенной потребителям воды.</v>
      </c>
      <c r="L64" s="1071" t="str">
        <f>IF(I64=0,"",I64)</f>
        <v>10</v>
      </c>
      <c r="M64" s="1071" t="str">
        <f>IF(J64=0,"",J64)</f>
        <v>Объём отпущенной потребителям воды, в том числе:</v>
      </c>
      <c r="N64" s="1071" t="str">
        <f>IF(K64=0,"",K64)</f>
        <v>Указывается общий объем отпущенной потребителям воды.</v>
      </c>
      <c r="O64" s="1184"/>
      <c r="P64" s="1184" t="s">
        <v>149</v>
      </c>
      <c r="Q64" s="1184"/>
      <c r="R64" s="1184"/>
      <c r="S64" s="1184"/>
      <c r="T64" s="1070"/>
      <c r="U64" s="1070" t="s">
        <v>2178</v>
      </c>
      <c r="V64" s="1070"/>
      <c r="W64" s="1070"/>
      <c r="X64" s="1070"/>
      <c r="Y64" s="1227"/>
      <c r="Z64" s="1073"/>
      <c r="AA64" s="1076" t="s">
        <v>2179</v>
      </c>
      <c r="AB64" s="1073"/>
      <c r="AC64" s="1073"/>
      <c r="AD64" s="1073"/>
    </row>
    <row customHeight="1" ht="18">
      <c r="A65" s="1072"/>
      <c r="B65" s="1126">
        <v>48</v>
      </c>
      <c r="C65" s="1070"/>
      <c r="D65" s="1194"/>
      <c r="E65" s="1070"/>
      <c r="F65" s="1070"/>
      <c r="G65" s="1070"/>
      <c r="H65" s="1118"/>
      <c r="I65" s="1232" t="str">
        <f>INDEX(TEMPLATE_NUMBER_POINT_FHD,B65,MATCH(TEMPLATE_SPHERE,TEMPLATE_SPHERE_LIST_FOR_NOTE,0))</f>
        <v>10.1</v>
      </c>
      <c r="J65" s="1232" t="str">
        <f>INDEX(TEMPLATE_DATA_POINT_FHD,B65,MATCH(TEMPLATE_SPHERE,TEMPLATE_SPHERE_LIST_FOR_NOTE,0))</f>
        <v>Объём отпущенной потребителям воды, определенный по приборам учета</v>
      </c>
      <c r="K65" s="1232">
        <f>INDEX(TEMPLATE_NOTE_POINT_FHD,B65,MATCH(TEMPLATE_SPHERE,TEMPLATE_SPHERE_LIST_FOR_NOTE,0))</f>
        <v>0</v>
      </c>
      <c r="L65" s="1071" t="str">
        <f>IF(I65=0,"",I65)</f>
        <v>10.1</v>
      </c>
      <c r="M65" s="1071" t="str">
        <f>IF(J65=0,"",J65)</f>
        <v>Объём отпущенной потребителям воды, определенный по приборам учета</v>
      </c>
      <c r="N65" s="1071" t="str">
        <f>IF(K65=0,"",K65)</f>
        <v/>
      </c>
      <c r="O65" s="1184"/>
      <c r="P65" s="1184" t="s">
        <v>2092</v>
      </c>
      <c r="Q65" s="1184"/>
      <c r="R65" s="1184"/>
      <c r="S65" s="1184"/>
      <c r="T65" s="1070"/>
      <c r="U65" s="1070" t="s">
        <v>2180</v>
      </c>
      <c r="V65" s="1070"/>
      <c r="W65" s="1070"/>
      <c r="X65" s="1070"/>
      <c r="Y65" s="1227"/>
      <c r="Z65" s="1073"/>
      <c r="AA65" s="1076"/>
      <c r="AB65" s="1073"/>
      <c r="AC65" s="1073"/>
      <c r="AD65" s="1073"/>
    </row>
    <row customHeight="1" ht="18">
      <c r="A66" s="1072"/>
      <c r="B66" s="1126">
        <v>49</v>
      </c>
      <c r="C66" s="1070"/>
      <c r="D66" s="1194"/>
      <c r="E66" s="1070"/>
      <c r="F66" s="1070"/>
      <c r="G66" s="1070"/>
      <c r="H66" s="1118"/>
      <c r="I66" s="1232" t="str">
        <f>INDEX(TEMPLATE_NUMBER_POINT_FHD,B66,MATCH(TEMPLATE_SPHERE,TEMPLATE_SPHERE_LIST_FOR_NOTE,0))</f>
        <v>10.2</v>
      </c>
      <c r="J66" s="1232" t="str">
        <f>INDEX(TEMPLATE_DATA_POINT_FHD,B66,MATCH(TEMPLATE_SPHERE,TEMPLATE_SPHERE_LIST_FOR_NOTE,0))</f>
        <v>Объём отпущенной потребителям воды, определенный расчетным способом</v>
      </c>
      <c r="K66" s="1232">
        <f>INDEX(TEMPLATE_NOTE_POINT_FHD,B66,MATCH(TEMPLATE_SPHERE,TEMPLATE_SPHERE_LIST_FOR_NOTE,0))</f>
        <v>0</v>
      </c>
      <c r="L66" s="1071" t="str">
        <f>IF(I66=0,"",I66)</f>
        <v>10.2</v>
      </c>
      <c r="M66" s="1071" t="str">
        <f>IF(J66=0,"",J66)</f>
        <v>Объём отпущенной потребителям воды, определенный расчетным способом</v>
      </c>
      <c r="N66" s="1071" t="str">
        <f>IF(K66=0,"",K66)</f>
        <v/>
      </c>
      <c r="O66" s="1184"/>
      <c r="P66" s="1184" t="s">
        <v>2096</v>
      </c>
      <c r="Q66" s="1184"/>
      <c r="R66" s="1184"/>
      <c r="S66" s="1184"/>
      <c r="T66" s="1070"/>
      <c r="U66" s="1070" t="s">
        <v>2181</v>
      </c>
      <c r="V66" s="1070"/>
      <c r="W66" s="1070"/>
      <c r="X66" s="1070"/>
      <c r="Y66" s="1227"/>
      <c r="Z66" s="1073"/>
      <c r="AA66" s="1076"/>
      <c r="AB66" s="1073"/>
      <c r="AC66" s="1073"/>
      <c r="AD66" s="1073"/>
    </row>
    <row customHeight="1" ht="27">
      <c r="A67" s="1072"/>
      <c r="B67" s="1126">
        <v>50</v>
      </c>
      <c r="C67" s="1070"/>
      <c r="D67" s="1194"/>
      <c r="E67" s="1070"/>
      <c r="F67" s="1070"/>
      <c r="G67" s="1070"/>
      <c r="H67" s="1118"/>
      <c r="I67" s="1232" t="str">
        <f>INDEX(TEMPLATE_NUMBER_POINT_FHD,B67,MATCH(TEMPLATE_SPHERE,TEMPLATE_SPHERE_LIST_FOR_NOTE,0))</f>
        <v>10.2.1</v>
      </c>
      <c r="J67" s="123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32">
        <f>INDEX(TEMPLATE_NOTE_POINT_FHD,B67,MATCH(TEMPLATE_SPHERE,TEMPLATE_SPHERE_LIST_FOR_NOTE,0))</f>
        <v>0</v>
      </c>
      <c r="L67" s="1071" t="str">
        <f>IF(I67=0,"",I67)</f>
        <v>10.2.1</v>
      </c>
      <c r="M67" s="1071" t="str">
        <f>IF(J67=0,"",J67)</f>
        <v>Объём отпущенной потребителям воды, определенный по нормативам потребления коммунальных услуг</v>
      </c>
      <c r="N67" s="1071" t="str">
        <f>IF(K67=0,"",K67)</f>
        <v/>
      </c>
      <c r="O67" s="1184"/>
      <c r="P67" s="1184" t="s">
        <v>2182</v>
      </c>
      <c r="Q67" s="1184"/>
      <c r="R67" s="1184"/>
      <c r="S67" s="1184"/>
      <c r="T67" s="1070"/>
      <c r="U67" s="1070" t="s">
        <v>2183</v>
      </c>
      <c r="V67" s="1070"/>
      <c r="W67" s="1070"/>
      <c r="X67" s="1070"/>
      <c r="Y67" s="1227"/>
      <c r="Z67" s="1073"/>
      <c r="AA67" s="1076"/>
      <c r="AB67" s="1073"/>
      <c r="AC67" s="1073"/>
      <c r="AD67" s="1073"/>
    </row>
    <row customHeight="1" ht="27">
      <c r="A68" s="1072"/>
      <c r="B68" s="1126">
        <v>51</v>
      </c>
      <c r="C68" s="1070"/>
      <c r="D68" s="1194"/>
      <c r="E68" s="1070"/>
      <c r="F68" s="1070"/>
      <c r="G68" s="1070"/>
      <c r="H68" s="1118"/>
      <c r="I68" s="1232" t="str">
        <f>INDEX(TEMPLATE_NUMBER_POINT_FHD,B68,MATCH(TEMPLATE_SPHERE,TEMPLATE_SPHERE_LIST_FOR_NOTE,0))</f>
        <v>10.2.2</v>
      </c>
      <c r="J68" s="123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2">
        <f>INDEX(TEMPLATE_NOTE_POINT_FHD,B68,MATCH(TEMPLATE_SPHERE,TEMPLATE_SPHERE_LIST_FOR_NOTE,0))</f>
        <v>0</v>
      </c>
      <c r="L68" s="1071" t="str">
        <f>IF(I68=0,"",I68)</f>
        <v>10.2.2</v>
      </c>
      <c r="M68" s="1071" t="str">
        <f>IF(J68=0,"",J68)</f>
        <v>Объём отпущенной потребителям воды, определенный по нормативам потребления коммунальных ресурсов </v>
      </c>
      <c r="N68" s="1071" t="str">
        <f>IF(K68=0,"",K68)</f>
        <v/>
      </c>
      <c r="O68" s="1184"/>
      <c r="P68" s="1184" t="s">
        <v>2184</v>
      </c>
      <c r="Q68" s="1184"/>
      <c r="R68" s="1184"/>
      <c r="S68" s="1184"/>
      <c r="T68" s="1070"/>
      <c r="U68" s="1070" t="s">
        <v>2185</v>
      </c>
      <c r="V68" s="1070"/>
      <c r="W68" s="1070"/>
      <c r="X68" s="1070"/>
      <c r="Y68" s="1227"/>
      <c r="Z68" s="1073"/>
      <c r="AA68" s="1076"/>
      <c r="AB68" s="1073"/>
      <c r="AC68" s="1073"/>
      <c r="AD68" s="1073"/>
    </row>
    <row customHeight="1" ht="9">
      <c r="A69" s="1072"/>
      <c r="B69" s="1126">
        <v>52</v>
      </c>
      <c r="C69" s="1070"/>
      <c r="D69" s="1194" t="s">
        <v>2186</v>
      </c>
      <c r="E69" s="1070"/>
      <c r="F69" s="1070"/>
      <c r="G69" s="1070"/>
      <c r="H69" s="1118"/>
      <c r="I69" s="1232" t="str">
        <f>INDEX(TEMPLATE_NUMBER_POINT_FHD,B69,MATCH(TEMPLATE_SPHERE,TEMPLATE_SPHERE_LIST_FOR_NOTE,0))</f>
        <v>11</v>
      </c>
      <c r="J69" s="1232" t="str">
        <f>INDEX(TEMPLATE_DATA_POINT_FHD,B69,MATCH(TEMPLATE_SPHERE,TEMPLATE_SPHERE_LIST_FOR_NOTE,0))</f>
        <v>Потери воды в сетях</v>
      </c>
      <c r="K69" s="1232">
        <f>INDEX(TEMPLATE_NOTE_POINT_FHD,B69,MATCH(TEMPLATE_SPHERE,TEMPLATE_SPHERE_LIST_FOR_NOTE,0))</f>
        <v>0</v>
      </c>
      <c r="L69" s="1071" t="str">
        <f>IF(I69=0,"",I69)</f>
        <v>11</v>
      </c>
      <c r="M69" s="1071" t="str">
        <f>IF(J69=0,"",J69)</f>
        <v>Потери воды в сетях</v>
      </c>
      <c r="N69" s="1071" t="str">
        <f>IF(K69=0,"",K69)</f>
        <v/>
      </c>
      <c r="O69" s="1184"/>
      <c r="P69" s="1184" t="s">
        <v>150</v>
      </c>
      <c r="Q69" s="1184"/>
      <c r="R69" s="1184"/>
      <c r="S69" s="1184"/>
      <c r="T69" s="1070"/>
      <c r="U69" s="1070" t="s">
        <v>2187</v>
      </c>
      <c r="V69" s="1070"/>
      <c r="W69" s="1070"/>
      <c r="X69" s="1070"/>
      <c r="Y69" s="1227"/>
      <c r="Z69" s="1073"/>
      <c r="AA69" s="1076"/>
      <c r="AB69" s="1073"/>
      <c r="AC69" s="1073"/>
      <c r="AD69" s="1073"/>
    </row>
    <row customHeight="1" ht="27">
      <c r="A70" s="1072"/>
      <c r="B70" s="1126">
        <v>53</v>
      </c>
      <c r="C70" s="1070"/>
      <c r="D70" s="1194"/>
      <c r="E70" s="1070" t="s">
        <v>2171</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2188</v>
      </c>
      <c r="W70" s="1070"/>
      <c r="X70" s="1070"/>
      <c r="Y70" s="1227"/>
      <c r="Z70" s="1073"/>
      <c r="AA70" s="1076"/>
      <c r="AB70" s="1073"/>
      <c r="AC70" s="1073"/>
      <c r="AD70" s="1073"/>
    </row>
    <row customHeight="1" ht="36">
      <c r="A71" s="1072"/>
      <c r="B71" s="1126">
        <v>54</v>
      </c>
      <c r="C71" s="1070"/>
      <c r="D71" s="1194"/>
      <c r="E71" s="1070" t="s">
        <v>2173</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2189</v>
      </c>
      <c r="W71" s="1070"/>
      <c r="X71" s="1070"/>
      <c r="Y71" s="1227"/>
      <c r="Z71" s="1073"/>
      <c r="AA71" s="1076"/>
      <c r="AB71" s="1073"/>
      <c r="AC71" s="1073"/>
      <c r="AD71" s="1073"/>
    </row>
    <row customHeight="1" ht="27">
      <c r="A72" s="1072"/>
      <c r="B72" s="1126">
        <v>55</v>
      </c>
      <c r="C72" s="1070"/>
      <c r="D72" s="1194"/>
      <c r="E72" s="1070" t="s">
        <v>2175</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2190</v>
      </c>
      <c r="W72" s="1070"/>
      <c r="X72" s="1070"/>
      <c r="Y72" s="1227"/>
      <c r="Z72" s="1073"/>
      <c r="AA72" s="1076"/>
      <c r="AB72" s="1073"/>
      <c r="AC72" s="1073"/>
      <c r="AD72" s="1073"/>
    </row>
    <row customHeight="1" ht="36">
      <c r="A73" s="1072"/>
      <c r="B73" s="1126">
        <v>56</v>
      </c>
      <c r="C73" s="1070"/>
      <c r="D73" s="1194"/>
      <c r="E73" s="1070" t="s">
        <v>2177</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2191</v>
      </c>
      <c r="W73" s="1070"/>
      <c r="X73" s="1070"/>
      <c r="Y73" s="1227"/>
      <c r="Z73" s="1073"/>
      <c r="AA73" s="1076"/>
      <c r="AB73" s="1073"/>
      <c r="AC73" s="1073"/>
      <c r="AD73" s="1073"/>
    </row>
    <row customHeight="1" ht="18">
      <c r="A74" s="1072"/>
      <c r="B74" s="1126">
        <v>57</v>
      </c>
      <c r="C74" s="1070"/>
      <c r="D74" s="1194"/>
      <c r="E74" s="1070" t="s">
        <v>2186</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2192</v>
      </c>
      <c r="W74" s="1070"/>
      <c r="X74" s="1070"/>
      <c r="Y74" s="1227"/>
      <c r="Z74" s="1073"/>
      <c r="AA74" s="1076"/>
      <c r="AB74" s="1073"/>
      <c r="AC74" s="1073"/>
      <c r="AD74" s="1073"/>
    </row>
    <row customHeight="1" ht="18">
      <c r="A75" s="1072"/>
      <c r="B75" s="1126">
        <v>58</v>
      </c>
      <c r="C75" s="1070"/>
      <c r="D75" s="1194"/>
      <c r="E75" s="1070"/>
      <c r="F75" s="1070" t="s">
        <v>2171</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2193</v>
      </c>
      <c r="X75" s="1070"/>
      <c r="Y75" s="1227"/>
      <c r="Z75" s="1073"/>
      <c r="AA75" s="1076"/>
      <c r="AB75" s="1073"/>
      <c r="AC75" s="1073"/>
      <c r="AD75" s="1073"/>
    </row>
    <row customHeight="1" ht="36">
      <c r="A76" s="1072"/>
      <c r="B76" s="1126">
        <v>59</v>
      </c>
      <c r="C76" s="1070"/>
      <c r="D76" s="1194"/>
      <c r="E76" s="1070"/>
      <c r="F76" s="1070" t="s">
        <v>2173</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2194</v>
      </c>
      <c r="X76" s="1070"/>
      <c r="Y76" s="1227"/>
      <c r="Z76" s="1073"/>
      <c r="AA76" s="1076"/>
      <c r="AB76" s="1073"/>
      <c r="AC76" s="1073"/>
      <c r="AD76" s="1073"/>
    </row>
    <row customHeight="1" ht="18">
      <c r="A77" s="1072"/>
      <c r="B77" s="1126">
        <v>60</v>
      </c>
      <c r="C77" s="1070"/>
      <c r="D77" s="1194"/>
      <c r="E77" s="1070"/>
      <c r="F77" s="1070" t="s">
        <v>2175</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2195</v>
      </c>
      <c r="X77" s="1070"/>
      <c r="Y77" s="1227"/>
      <c r="Z77" s="1073"/>
      <c r="AA77" s="1076"/>
      <c r="AB77" s="1073"/>
      <c r="AC77" s="1073"/>
      <c r="AD77" s="1073"/>
    </row>
    <row customHeight="1" ht="72">
      <c r="A78" s="1072"/>
      <c r="B78" s="1126">
        <v>61</v>
      </c>
      <c r="C78" s="1070" t="s">
        <v>2171</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93</v>
      </c>
      <c r="P78" s="1184"/>
      <c r="Q78" s="1184"/>
      <c r="R78" s="1184"/>
      <c r="S78" s="1184"/>
      <c r="T78" s="1070" t="s">
        <v>643</v>
      </c>
      <c r="U78" s="1070"/>
      <c r="V78" s="1070"/>
      <c r="W78" s="1070"/>
      <c r="X78" s="1070"/>
      <c r="Y78" s="1227"/>
      <c r="Z78" s="1073" t="s">
        <v>2196</v>
      </c>
      <c r="AA78" s="1076"/>
      <c r="AB78" s="1073"/>
      <c r="AC78" s="1073"/>
      <c r="AD78" s="1073"/>
    </row>
    <row customHeight="1" ht="36">
      <c r="A79" s="1072"/>
      <c r="B79" s="1126">
        <v>62</v>
      </c>
      <c r="C79" s="1070" t="s">
        <v>2173</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112</v>
      </c>
      <c r="P79" s="1184"/>
      <c r="Q79" s="1184"/>
      <c r="R79" s="1184"/>
      <c r="S79" s="1184"/>
      <c r="T79" s="1070" t="s">
        <v>2197</v>
      </c>
      <c r="U79" s="1070"/>
      <c r="V79" s="1070"/>
      <c r="W79" s="1070"/>
      <c r="X79" s="1070"/>
      <c r="Y79" s="1227"/>
      <c r="Z79" s="1073" t="s">
        <v>2198</v>
      </c>
      <c r="AA79" s="1076"/>
      <c r="AB79" s="1073"/>
      <c r="AC79" s="1073"/>
      <c r="AD79" s="1073"/>
    </row>
    <row customHeight="1" ht="45">
      <c r="A80" s="1072"/>
      <c r="B80" s="1126">
        <v>63</v>
      </c>
      <c r="C80" s="1070" t="s">
        <v>2175</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148</v>
      </c>
      <c r="P80" s="1184"/>
      <c r="Q80" s="1184"/>
      <c r="R80" s="1184"/>
      <c r="S80" s="1184"/>
      <c r="T80" s="1070" t="s">
        <v>2199</v>
      </c>
      <c r="U80" s="1070"/>
      <c r="V80" s="1070"/>
      <c r="W80" s="1070"/>
      <c r="X80" s="1070"/>
      <c r="Y80" s="1227"/>
      <c r="Z80" s="1073" t="s">
        <v>2200</v>
      </c>
      <c r="AA80" s="1076"/>
      <c r="AB80" s="1073"/>
      <c r="AC80" s="1073"/>
      <c r="AD80" s="1073"/>
    </row>
    <row customHeight="1" ht="36">
      <c r="A81" s="1072"/>
      <c r="B81" s="1126">
        <v>64</v>
      </c>
      <c r="C81" s="1070" t="s">
        <v>2177</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2083</v>
      </c>
      <c r="P81" s="1184"/>
      <c r="Q81" s="1184"/>
      <c r="R81" s="1184"/>
      <c r="S81" s="1184"/>
      <c r="T81" s="1070" t="s">
        <v>2201</v>
      </c>
      <c r="U81" s="1070"/>
      <c r="V81" s="1070"/>
      <c r="W81" s="1070"/>
      <c r="X81" s="1070"/>
      <c r="Y81" s="1227"/>
      <c r="Z81" s="1073" t="s">
        <v>2202</v>
      </c>
      <c r="AA81" s="1076"/>
      <c r="AB81" s="1073"/>
      <c r="AC81" s="1073"/>
      <c r="AD81" s="1073"/>
    </row>
    <row customHeight="1" ht="90">
      <c r="A82" s="1072"/>
      <c r="B82" s="1126">
        <v>65</v>
      </c>
      <c r="C82" s="1070" t="s">
        <v>2186</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149</v>
      </c>
      <c r="P82" s="1184"/>
      <c r="Q82" s="1184"/>
      <c r="R82" s="1184"/>
      <c r="S82" s="1184"/>
      <c r="T82" s="1070" t="s">
        <v>2203</v>
      </c>
      <c r="U82" s="1070"/>
      <c r="V82" s="1070"/>
      <c r="W82" s="1070"/>
      <c r="X82" s="1070"/>
      <c r="Y82" s="1227"/>
      <c r="Z82" s="1073" t="s">
        <v>2204</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2092</v>
      </c>
      <c r="P83" s="1184"/>
      <c r="Q83" s="1184"/>
      <c r="R83" s="1184"/>
      <c r="S83" s="1184"/>
      <c r="T83" s="1070" t="s">
        <v>2205</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2206</v>
      </c>
      <c r="P84" s="1184"/>
      <c r="Q84" s="1184"/>
      <c r="R84" s="1184"/>
      <c r="S84" s="1184"/>
      <c r="T84" s="1070" t="s">
        <v>2207</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2096</v>
      </c>
      <c r="P85" s="1184"/>
      <c r="Q85" s="1184"/>
      <c r="R85" s="1184"/>
      <c r="S85" s="1184"/>
      <c r="T85" s="1070" t="s">
        <v>2208</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2209</v>
      </c>
      <c r="P86" s="1184"/>
      <c r="Q86" s="1184"/>
      <c r="R86" s="1184"/>
      <c r="S86" s="1184"/>
      <c r="T86" s="1070" t="s">
        <v>2210</v>
      </c>
      <c r="U86" s="1070"/>
      <c r="V86" s="1070"/>
      <c r="W86" s="1070"/>
      <c r="X86" s="1070"/>
      <c r="Y86" s="1227"/>
      <c r="Z86" s="1073"/>
      <c r="AA86" s="1076"/>
      <c r="AB86" s="1073"/>
      <c r="AC86" s="1073"/>
      <c r="AD86" s="1073"/>
    </row>
    <row customHeight="1" ht="36">
      <c r="A87" s="1072"/>
      <c r="B87" s="1126">
        <v>70</v>
      </c>
      <c r="C87" s="1070" t="s">
        <v>2211</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150</v>
      </c>
      <c r="P87" s="1184"/>
      <c r="Q87" s="1184"/>
      <c r="R87" s="1184"/>
      <c r="S87" s="1184"/>
      <c r="T87" s="1070" t="s">
        <v>2212</v>
      </c>
      <c r="U87" s="1070"/>
      <c r="V87" s="1070"/>
      <c r="W87" s="1070"/>
      <c r="X87" s="1070"/>
      <c r="Y87" s="1227"/>
      <c r="Z87" s="1073"/>
      <c r="AA87" s="1076"/>
      <c r="AB87" s="1073"/>
      <c r="AC87" s="1073"/>
      <c r="AD87" s="1073"/>
    </row>
    <row customHeight="1" ht="18">
      <c r="A88" s="1072"/>
      <c r="B88" s="1126">
        <v>71</v>
      </c>
      <c r="C88" s="1070" t="s">
        <v>2213</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151</v>
      </c>
      <c r="P88" s="1184"/>
      <c r="Q88" s="1184"/>
      <c r="R88" s="1184"/>
      <c r="S88" s="1184"/>
      <c r="T88" s="1070" t="s">
        <v>675</v>
      </c>
      <c r="U88" s="1070"/>
      <c r="V88" s="1070"/>
      <c r="W88" s="1070"/>
      <c r="X88" s="1070"/>
      <c r="Y88" s="1227"/>
      <c r="Z88" s="1073"/>
      <c r="AA88" s="1076"/>
      <c r="AB88" s="1073"/>
      <c r="AC88" s="1073"/>
      <c r="AD88" s="1073"/>
    </row>
    <row customHeight="1" ht="18">
      <c r="A89" s="1072"/>
      <c r="B89" s="1126">
        <v>72</v>
      </c>
      <c r="C89" s="1070" t="s">
        <v>2214</v>
      </c>
      <c r="D89" s="1194" t="s">
        <v>2211</v>
      </c>
      <c r="E89" s="1070" t="s">
        <v>2211</v>
      </c>
      <c r="F89" s="1070" t="s">
        <v>2177</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683</v>
      </c>
      <c r="U89" s="1070" t="s">
        <v>683</v>
      </c>
      <c r="V89" s="1070" t="s">
        <v>683</v>
      </c>
      <c r="W89" s="1070" t="s">
        <v>683</v>
      </c>
      <c r="X89" s="1070"/>
      <c r="Y89" s="1227"/>
      <c r="Z89" s="1073"/>
      <c r="AA89" s="1076"/>
      <c r="AB89" s="1073"/>
      <c r="AC89" s="1073"/>
      <c r="AD89" s="1073"/>
    </row>
    <row customHeight="1" ht="27">
      <c r="A90" s="1072"/>
      <c r="B90" s="1126">
        <v>73</v>
      </c>
      <c r="C90" s="1070" t="s">
        <v>2215</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153</v>
      </c>
      <c r="P90" s="1184"/>
      <c r="Q90" s="1184"/>
      <c r="R90" s="1184"/>
      <c r="S90" s="1184"/>
      <c r="T90" s="1070" t="s">
        <v>685</v>
      </c>
      <c r="U90" s="1070"/>
      <c r="V90" s="1070"/>
      <c r="W90" s="1070"/>
      <c r="X90" s="1070"/>
      <c r="Y90" s="1227"/>
      <c r="Z90" s="1073"/>
      <c r="AA90" s="1076"/>
      <c r="AB90" s="1073"/>
      <c r="AC90" s="1073"/>
      <c r="AD90" s="1073"/>
    </row>
    <row customHeight="1" ht="18">
      <c r="A91" s="1072"/>
      <c r="B91" s="1126">
        <v>74</v>
      </c>
      <c r="C91" s="1070"/>
      <c r="D91" s="1194" t="s">
        <v>2213</v>
      </c>
      <c r="E91" s="1070" t="s">
        <v>2213</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152</v>
      </c>
      <c r="Q91" s="1184" t="s">
        <v>152</v>
      </c>
      <c r="R91" s="1184"/>
      <c r="S91" s="1184"/>
      <c r="T91" s="1070"/>
      <c r="U91" s="1070" t="s">
        <v>2216</v>
      </c>
      <c r="V91" s="1070" t="s">
        <v>2216</v>
      </c>
      <c r="W91" s="1070"/>
      <c r="X91" s="1070"/>
      <c r="Y91" s="1227"/>
      <c r="Z91" s="1073"/>
      <c r="AA91" s="1076"/>
      <c r="AB91" s="1073"/>
      <c r="AC91" s="1073"/>
      <c r="AD91" s="1073"/>
    </row>
    <row customHeight="1" ht="27">
      <c r="A92" s="1072"/>
      <c r="B92" s="1126">
        <v>75</v>
      </c>
      <c r="C92" s="1070"/>
      <c r="D92" s="1194" t="s">
        <v>2214</v>
      </c>
      <c r="E92" s="1070"/>
      <c r="F92" s="1070"/>
      <c r="G92" s="1070"/>
      <c r="H92" s="1118"/>
      <c r="I92" s="1232" t="str">
        <f>INDEX(TEMPLATE_NUMBER_POINT_FHD,B92,MATCH(TEMPLATE_SPHERE,TEMPLATE_SPHERE_LIST_FOR_NOTE,0))</f>
        <v>14</v>
      </c>
      <c r="J92" s="1232" t="str">
        <f>INDEX(TEMPLATE_DATA_POINT_FHD,B92,MATCH(TEMPLATE_SPHERE,TEMPLATE_SPHERE_LIST_FOR_NOTE,0))</f>
        <v>Расход воды на собственные нужды, в том числе:</v>
      </c>
      <c r="K92" s="123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71" t="str">
        <f>IF(I92=0,"",I92)</f>
        <v>14</v>
      </c>
      <c r="M92" s="1071" t="str">
        <f>IF(J92=0,"",J92)</f>
        <v>Расход воды на собственные нужды, в том числе:</v>
      </c>
      <c r="N92" s="1071" t="str">
        <f>IF(K92=0,"",K92)</f>
        <v>Указывается доля общего расхода воды на собственные нужны от объема отпуска воды потребителям.</v>
      </c>
      <c r="O92" s="1184"/>
      <c r="P92" s="1184" t="s">
        <v>153</v>
      </c>
      <c r="Q92" s="1184"/>
      <c r="R92" s="1184"/>
      <c r="S92" s="1184"/>
      <c r="T92" s="1070"/>
      <c r="U92" s="1070" t="s">
        <v>2217</v>
      </c>
      <c r="V92" s="1070"/>
      <c r="W92" s="1070"/>
      <c r="X92" s="1070"/>
      <c r="Y92" s="1227"/>
      <c r="Z92" s="1073"/>
      <c r="AA92" s="1076" t="s">
        <v>2218</v>
      </c>
      <c r="AB92" s="1073"/>
      <c r="AC92" s="1073"/>
      <c r="AD92" s="1073"/>
    </row>
    <row customHeight="1" ht="27">
      <c r="A93" s="1072"/>
      <c r="B93" s="1126">
        <v>76</v>
      </c>
      <c r="C93" s="1070"/>
      <c r="D93" s="1194"/>
      <c r="E93" s="1070"/>
      <c r="F93" s="1070"/>
      <c r="G93" s="1070"/>
      <c r="H93" s="1118"/>
      <c r="I93" s="1232" t="str">
        <f>INDEX(TEMPLATE_NUMBER_POINT_FHD,B93,MATCH(TEMPLATE_SPHERE,TEMPLATE_SPHERE_LIST_FOR_NOTE,0))</f>
        <v>14.1</v>
      </c>
      <c r="J93" s="1232" t="str">
        <f>INDEX(TEMPLATE_DATA_POINT_FHD,B93,MATCH(TEMPLATE_SPHERE,TEMPLATE_SPHERE_LIST_FOR_NOTE,0))</f>
        <v>Расход воды на хозяйственно-бытовые нужды</v>
      </c>
      <c r="K93" s="123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71" t="str">
        <f>IF(I93=0,"",I93)</f>
        <v>14.1</v>
      </c>
      <c r="M93" s="1071" t="str">
        <f>IF(J93=0,"",J93)</f>
        <v>Расход воды на хозяйственно-бытовые нужды</v>
      </c>
      <c r="N93" s="1071" t="str">
        <f>IF(K93=0,"",K93)</f>
        <v>Указывается доля расхода воды на хозяйственно-бытовые нужны от объема отпуска воды потребителям.</v>
      </c>
      <c r="O93" s="1184"/>
      <c r="P93" s="1184" t="s">
        <v>2124</v>
      </c>
      <c r="Q93" s="1184"/>
      <c r="R93" s="1184"/>
      <c r="S93" s="1184"/>
      <c r="T93" s="1070"/>
      <c r="U93" s="1070" t="s">
        <v>2219</v>
      </c>
      <c r="V93" s="1070"/>
      <c r="W93" s="1070"/>
      <c r="X93" s="1070"/>
      <c r="Y93" s="1227"/>
      <c r="Z93" s="1073"/>
      <c r="AA93" s="1076" t="s">
        <v>2220</v>
      </c>
      <c r="AB93" s="1073"/>
      <c r="AC93" s="1073"/>
      <c r="AD93" s="1073"/>
    </row>
    <row customHeight="1" ht="45">
      <c r="A94" s="1072"/>
      <c r="B94" s="1126">
        <v>77</v>
      </c>
      <c r="C94" s="1070"/>
      <c r="D94" s="1194" t="s">
        <v>2215</v>
      </c>
      <c r="E94" s="1070"/>
      <c r="F94" s="1070"/>
      <c r="G94" s="1070"/>
      <c r="H94" s="1118"/>
      <c r="I94" s="1232" t="str">
        <f>INDEX(TEMPLATE_NUMBER_POINT_FHD,B94,MATCH(TEMPLATE_SPHERE,TEMPLATE_SPHERE_LIST_FOR_NOTE,0))</f>
        <v>15</v>
      </c>
      <c r="J94" s="1232" t="str">
        <f>INDEX(TEMPLATE_DATA_POINT_FHD,B94,MATCH(TEMPLATE_SPHERE,TEMPLATE_SPHERE_LIST_FOR_NOTE,0))</f>
        <v>Показатель использования производственных объектов (по объему перекачки), в том числе:</v>
      </c>
      <c r="K94" s="123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71" t="str">
        <f>IF(I94=0,"",I94)</f>
        <v>15</v>
      </c>
      <c r="M94" s="1071" t="str">
        <f>IF(J94=0,"",J94)</f>
        <v>Показатель использования производственных объектов (по объему перекачки), в том числе:</v>
      </c>
      <c r="N94" s="107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4"/>
      <c r="P94" s="1184" t="s">
        <v>1478</v>
      </c>
      <c r="Q94" s="1184"/>
      <c r="R94" s="1184"/>
      <c r="S94" s="1184"/>
      <c r="T94" s="1070"/>
      <c r="U94" s="1070" t="s">
        <v>2221</v>
      </c>
      <c r="V94" s="1070"/>
      <c r="W94" s="1070"/>
      <c r="X94" s="1070"/>
      <c r="Y94" s="1227"/>
      <c r="Z94" s="1073"/>
      <c r="AA94" s="1076" t="s">
        <v>2222</v>
      </c>
      <c r="AB94" s="1073"/>
      <c r="AC94" s="1073"/>
      <c r="AD94" s="1073"/>
    </row>
    <row customHeight="1" ht="99">
      <c r="A95" s="1072"/>
      <c r="B95" s="1126">
        <v>78</v>
      </c>
      <c r="C95" s="1070" t="s">
        <v>2223</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1478</v>
      </c>
      <c r="P95" s="1184"/>
      <c r="Q95" s="1184"/>
      <c r="R95" s="1184"/>
      <c r="S95" s="1184"/>
      <c r="T95" s="1070" t="s">
        <v>2224</v>
      </c>
      <c r="U95" s="1070"/>
      <c r="V95" s="1070"/>
      <c r="W95" s="1070"/>
      <c r="X95" s="1070"/>
      <c r="Y95" s="1227"/>
      <c r="Z95" s="1073"/>
      <c r="AA95" s="1076"/>
      <c r="AB95" s="1073"/>
      <c r="AC95" s="1073"/>
      <c r="AD95" s="1073"/>
    </row>
    <row customHeight="1" ht="99">
      <c r="A96" s="1072"/>
      <c r="B96" s="1126">
        <v>79</v>
      </c>
      <c r="C96" s="1070" t="s">
        <v>1156</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1484</v>
      </c>
      <c r="P96" s="1184"/>
      <c r="Q96" s="1184"/>
      <c r="R96" s="1184"/>
      <c r="S96" s="1184"/>
      <c r="T96" s="1070" t="s">
        <v>2225</v>
      </c>
      <c r="U96" s="1070"/>
      <c r="V96" s="1070"/>
      <c r="W96" s="1070"/>
      <c r="X96" s="1070"/>
      <c r="Y96" s="1227"/>
      <c r="Z96" s="1073" t="s">
        <v>2226</v>
      </c>
      <c r="AA96" s="1076"/>
      <c r="AB96" s="1073"/>
      <c r="AC96" s="1073"/>
      <c r="AD96" s="1073"/>
    </row>
    <row customHeight="1" ht="63">
      <c r="A97" s="1072"/>
      <c r="B97" s="1126">
        <v>80</v>
      </c>
      <c r="C97" s="1070" t="s">
        <v>2227</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1496</v>
      </c>
      <c r="P97" s="1184"/>
      <c r="Q97" s="1184"/>
      <c r="R97" s="1184"/>
      <c r="S97" s="1184"/>
      <c r="T97" s="1070" t="s">
        <v>2228</v>
      </c>
      <c r="U97" s="1070"/>
      <c r="V97" s="1070"/>
      <c r="W97" s="1070"/>
      <c r="X97" s="1070"/>
      <c r="Y97" s="1227"/>
      <c r="Z97" s="1073" t="s">
        <v>2229</v>
      </c>
      <c r="AA97" s="1076"/>
      <c r="AB97" s="1073"/>
      <c r="AC97" s="1073"/>
      <c r="AD97" s="1073"/>
    </row>
    <row customHeight="1" ht="63">
      <c r="A98" s="1072"/>
      <c r="B98" s="1126">
        <v>81</v>
      </c>
      <c r="C98" s="1070" t="s">
        <v>2230</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1510</v>
      </c>
      <c r="P98" s="1184"/>
      <c r="Q98" s="1184"/>
      <c r="R98" s="1184"/>
      <c r="S98" s="1184"/>
      <c r="T98" s="1070" t="s">
        <v>2231</v>
      </c>
      <c r="U98" s="1070"/>
      <c r="V98" s="1070"/>
      <c r="W98" s="1070"/>
      <c r="X98" s="1070"/>
      <c r="Y98" s="1227"/>
      <c r="Z98" s="1073" t="s">
        <v>2229</v>
      </c>
      <c r="AA98" s="1076"/>
      <c r="AB98" s="1073"/>
      <c r="AC98" s="1073"/>
      <c r="AD98" s="1073"/>
    </row>
    <row customHeight="1" ht="90">
      <c r="A99" s="1072"/>
      <c r="B99" s="1126">
        <v>82</v>
      </c>
      <c r="C99" s="1070" t="s">
        <v>2232</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1522</v>
      </c>
      <c r="P99" s="1184"/>
      <c r="Q99" s="1184"/>
      <c r="R99" s="1184"/>
      <c r="S99" s="1184"/>
      <c r="T99" s="1070" t="s">
        <v>2233</v>
      </c>
      <c r="U99" s="1070"/>
      <c r="V99" s="1070"/>
      <c r="W99" s="1070"/>
      <c r="X99" s="1070"/>
      <c r="Y99" s="1227"/>
      <c r="Z99" s="1073" t="s">
        <v>640</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2234</v>
      </c>
      <c r="P100" s="1184"/>
      <c r="Q100" s="1184"/>
      <c r="R100" s="1184"/>
      <c r="S100" s="1184"/>
      <c r="T100" s="1070" t="s">
        <v>2235</v>
      </c>
      <c r="U100" s="1070"/>
      <c r="V100" s="1070"/>
      <c r="W100" s="1070"/>
      <c r="X100" s="1070"/>
      <c r="Y100" s="1227"/>
      <c r="Z100" s="1073" t="s">
        <v>640</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2236</v>
      </c>
      <c r="P101" s="1184"/>
      <c r="Q101" s="1184"/>
      <c r="R101" s="1184"/>
      <c r="S101" s="1184"/>
      <c r="T101" s="1070" t="s">
        <v>2237</v>
      </c>
      <c r="U101" s="1070"/>
      <c r="V101" s="1070"/>
      <c r="W101" s="1070"/>
      <c r="X101" s="1070"/>
      <c r="Y101" s="1227"/>
      <c r="Z101" s="1073" t="s">
        <v>640</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1675</v>
      </c>
      <c r="B148" s="1072"/>
      <c r="C148" s="1070" t="s">
        <v>2238</v>
      </c>
      <c r="D148" s="1070" t="s">
        <v>1578</v>
      </c>
      <c r="E148" s="1070" t="s">
        <v>1677</v>
      </c>
      <c r="F148" s="1070" t="s">
        <v>2239</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5"/>
      <c r="O148" s="1070"/>
      <c r="P148" s="1071"/>
      <c r="Q148" s="1071"/>
      <c r="R148" s="1071"/>
      <c r="S148" s="1070"/>
      <c r="T148" s="1070" t="s">
        <v>2240</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71"/>
      <c r="W148" s="1071"/>
      <c r="X148" s="1070" t="s">
        <v>2241</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1679</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1682</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1686</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6DC9F-476C-1F1F-284F-84B27D1B041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221" width="10.57421875" hidden="1"/>
    <col min="2" max="2" style="13221" width="11.00390625" hidden="1" customWidth="1"/>
    <col min="3" max="3" style="13221" width="10.57421875" hidden="1"/>
    <col min="4" max="4" style="13221" width="11.8515625" hidden="1" customWidth="1"/>
    <col min="5" max="5" style="13221" width="12.28125" hidden="1" customWidth="1"/>
    <col min="6" max="8" style="14072" width="12.28125" hidden="1" customWidth="1"/>
    <col min="9" max="9" style="14073" width="3.00390625" customWidth="1"/>
    <col min="10" max="11" style="14074" width="3.00390625" customWidth="1"/>
    <col min="12" max="12" style="14075" width="12.00390625" customWidth="1"/>
    <col min="13" max="13" style="13141" width="31.00390625" customWidth="1"/>
    <col min="14" max="14" style="13141" width="1.00390625" customWidth="1"/>
    <col min="15" max="18" style="13141" width="24.00390625" customWidth="1"/>
    <col min="19" max="19" style="13141" width="11.00390625" customWidth="1"/>
    <col min="20" max="20" style="13141" width="3.7109375" customWidth="1"/>
    <col min="21" max="21" style="13141" width="11.00390625" customWidth="1"/>
    <col min="22" max="22" style="13141" width="8.57421875" customWidth="1"/>
    <col min="23" max="23" style="13141" width="4.00390625" customWidth="1"/>
    <col min="24" max="24" style="13141" width="115.00390625" customWidth="1"/>
    <col min="25" max="29" style="13222" width="10.00390625" customWidth="1"/>
    <col min="30" max="30" style="13141"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2242</v>
      </c>
      <c r="M5" s="2830"/>
      <c r="N5" s="2830"/>
      <c r="O5" s="2830"/>
      <c r="P5" s="2830"/>
      <c r="Q5" s="2830"/>
      <c r="R5" s="2830"/>
      <c r="S5" s="2830"/>
      <c r="T5" s="2830"/>
      <c r="U5" s="2830"/>
      <c r="V5" s="1470"/>
      <c r="AD5" s="1382">
        <v>64</v>
      </c>
    </row>
    <row customHeight="1" ht="14.699999999999998">
      <c r="J6" s="603"/>
      <c r="K6" s="603"/>
      <c r="L6" s="2831" t="str">
        <f>IF(org=0,"Не определено",org)</f>
        <v>МУП "Уссурийск-Водоканал"</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3348"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3348" customFormat="1" customHeight="1" ht="24">
      <c r="A9" s="1595"/>
      <c r="B9" s="1595"/>
      <c r="C9" s="1595"/>
      <c r="D9" s="1595"/>
      <c r="E9" s="1595"/>
      <c r="F9" s="1595"/>
      <c r="G9" s="1595"/>
      <c r="H9" s="1595"/>
      <c r="L9" s="1503"/>
      <c r="M9" s="522" t="s">
        <v>426</v>
      </c>
      <c r="N9" s="531"/>
      <c r="O9" s="2478" t="str">
        <f>IF(TITLE_DATE_CHANGE_PERIOD="",IF(TITLE_DATE_PR="","",TITLE_DATE_PR),TITLE_DATE_CHANGE_PERIOD)</f>
        <v>45658</v>
      </c>
      <c r="P9" s="2478"/>
      <c r="Q9" s="2478"/>
      <c r="R9" s="2478"/>
      <c r="S9" s="2478"/>
      <c r="T9" s="2478"/>
      <c r="U9" s="2478"/>
      <c r="V9" s="553"/>
      <c r="W9" s="553"/>
      <c r="X9" s="507"/>
      <c r="Y9" s="595"/>
      <c r="Z9" s="595"/>
      <c r="AA9" s="595"/>
      <c r="AB9" s="595"/>
      <c r="AC9" s="595"/>
      <c r="AD9" s="645">
        <v>23</v>
      </c>
    </row>
    <row s="13348"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27-2085</v>
      </c>
      <c r="P10" s="2478"/>
      <c r="Q10" s="2478"/>
      <c r="R10" s="2478"/>
      <c r="S10" s="2478"/>
      <c r="T10" s="2478"/>
      <c r="U10" s="2478"/>
      <c r="V10" s="553"/>
      <c r="W10" s="553"/>
      <c r="X10" s="507"/>
      <c r="Y10" s="595"/>
      <c r="Z10" s="595"/>
      <c r="AA10" s="595"/>
      <c r="AB10" s="595"/>
      <c r="AC10" s="595"/>
      <c r="AD10" s="645">
        <v>23</v>
      </c>
    </row>
    <row s="13348"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3348"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88</v>
      </c>
      <c r="M15" s="2436" t="s">
        <v>431</v>
      </c>
      <c r="N15" s="528"/>
      <c r="O15" s="2501" t="s">
        <v>2243</v>
      </c>
      <c r="P15" s="2502"/>
      <c r="Q15" s="2502"/>
      <c r="R15" s="2502"/>
      <c r="S15" s="2502"/>
      <c r="T15" s="2502"/>
      <c r="U15" s="2503"/>
      <c r="V15" s="2504" t="s">
        <v>433</v>
      </c>
      <c r="W15" s="2507" t="s">
        <v>1153</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3827"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415</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595</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2244</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2245</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3282" customFormat="1" customHeight="1" ht="11.549999999999999">
      <c r="A33" s="1590"/>
      <c r="B33" s="1590"/>
      <c r="C33" s="1590"/>
      <c r="D33" s="1590"/>
      <c r="E33" s="1590" t="s">
        <v>231</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812</v>
      </c>
      <c r="M35" s="2512" t="s">
        <v>2246</v>
      </c>
      <c r="N35" s="2512"/>
      <c r="O35" s="2512"/>
      <c r="P35" s="2512"/>
      <c r="Q35" s="2512"/>
      <c r="R35" s="2512"/>
      <c r="S35" s="2512"/>
      <c r="T35" s="2512"/>
      <c r="U35" s="2512"/>
      <c r="V35" s="2512"/>
      <c r="W35" s="2512"/>
      <c r="X35" s="2512"/>
      <c r="AD35" s="1382">
        <v>27</v>
      </c>
    </row>
    <row customHeight="1" ht="109.19999999999999">
      <c r="H36" s="764"/>
      <c r="I36" s="1530"/>
      <c r="M36" s="2512" t="s">
        <v>2247</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C9359-14DD-A4A5-0408-E6F9F8F362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60822-490E-700C-E2AB-2A3B96E39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789C9-5D64-D37A-88C5-0022AA333B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223E6-A31E-F921-6E53-F7CE4241F6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695C6-8E45-D5DB-B7B3-20D446727B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9502C-6D23-6B6D-F3EC-EA68749A04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B9CB3-3D2E-7A78-E59D-0DEF3DACEC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94CFD-3FE6-2CF9-B167-C62E608069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17848-9FEC-24B1-FA5E-94D51C356B98}" mc:Ignorable="x14ac xr xr2 xr3">
  <dimension ref="A1:E8"/>
  <sheetViews>
    <sheetView topLeftCell="A1" showGridLines="0" workbookViewId="0">
      <selection activeCell="A1" sqref="A1"/>
    </sheetView>
  </sheetViews>
  <sheetFormatPr customHeight="1" defaultRowHeight="11.25"/>
  <cols>
    <col min="1" max="1" style="16554" width="10.57421875" customWidth="1"/>
    <col min="2" max="2" style="16554" width="8.7109375" customWidth="1"/>
    <col min="3" max="3" style="16554" width="18.140625" customWidth="1"/>
    <col min="4" max="4" style="16554" width="12.57421875" customWidth="1"/>
  </cols>
  <sheetData>
    <row customHeight="1" ht="11.25">
      <c r="A1" s="2842" t="s">
        <v>2248</v>
      </c>
      <c r="B1" s="2843" t="s">
        <v>2249</v>
      </c>
      <c r="C1" s="2844" t="s">
        <v>2250</v>
      </c>
      <c r="D1" s="2845"/>
      <c r="E1" s="1063" t="s">
        <v>2251</v>
      </c>
    </row>
    <row customHeight="1" ht="11.25">
      <c r="A2" s="2846"/>
      <c r="B2" s="992" t="s">
        <v>26</v>
      </c>
      <c r="C2" s="980"/>
      <c r="D2" s="991"/>
      <c r="E2" s="1063"/>
    </row>
    <row customHeight="1" ht="11.25">
      <c r="A3" s="2847"/>
      <c r="B3" s="2848" t="s">
        <v>33</v>
      </c>
      <c r="C3" s="980"/>
      <c r="D3" s="991"/>
      <c r="E3" s="1063"/>
    </row>
    <row customHeight="1" ht="11.25">
      <c r="A4" s="2849"/>
      <c r="B4" s="993" t="s">
        <v>1675</v>
      </c>
      <c r="C4" s="980"/>
      <c r="D4" s="991"/>
      <c r="E4" s="1063"/>
    </row>
    <row customHeight="1" ht="11.25">
      <c r="A5" s="2850"/>
      <c r="B5" s="993" t="s">
        <v>1670</v>
      </c>
      <c r="C5" s="2851" t="s">
        <v>2015</v>
      </c>
      <c r="D5" s="2852" t="s">
        <v>2252</v>
      </c>
      <c r="E5" s="1063"/>
    </row>
    <row s="13282" customFormat="1" customHeight="1" ht="11.25">
      <c r="A6" s="2853"/>
      <c r="B6" s="993" t="s">
        <v>1679</v>
      </c>
      <c r="C6" s="980"/>
      <c r="D6" s="991"/>
      <c r="E6" s="1063"/>
    </row>
    <row customHeight="1" ht="11.25">
      <c r="A7" s="2854"/>
      <c r="B7" s="993" t="s">
        <v>1686</v>
      </c>
      <c r="C7" s="980"/>
      <c r="D7" s="991"/>
      <c r="E7" s="1063"/>
    </row>
    <row customHeight="1" ht="11.25">
      <c r="A8" s="983"/>
      <c r="B8" s="993" t="s">
        <v>1682</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37DD3-F06D-2C77-9811-7E51276449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0E884-4EE6-B7F3-03CF-8AA74ED5D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9B8A2-0846-AA87-FAAC-6A2E287A23D5}"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3282" width="9.140625"/>
    <col min="3" max="3" style="13282" width="20.7109375" customWidth="1"/>
    <col min="4" max="4" style="13282" width="25.140625" customWidth="1"/>
    <col min="5" max="9" style="13282" width="9.140625"/>
  </cols>
  <sheetData>
    <row customHeight="1" ht="11.25">
      <c r="A1" s="295" t="s">
        <v>2253</v>
      </c>
      <c r="B1" s="295" t="s">
        <v>2254</v>
      </c>
      <c r="C1" s="295" t="s">
        <v>2255</v>
      </c>
      <c r="D1" s="295" t="s">
        <v>2256</v>
      </c>
      <c r="E1" s="295" t="s">
        <v>2257</v>
      </c>
      <c r="F1" s="295" t="s">
        <v>2258</v>
      </c>
      <c r="G1" s="295" t="s">
        <v>2259</v>
      </c>
      <c r="H1" s="295" t="s">
        <v>2260</v>
      </c>
      <c r="I1" s="295" t="s">
        <v>2261</v>
      </c>
    </row>
    <row customHeight="1" ht="11.25">
      <c r="A2" s="6179" t="s">
        <v>2262</v>
      </c>
      <c r="B2" s="6179" t="s">
        <v>16</v>
      </c>
      <c r="C2" s="6179" t="s">
        <v>28</v>
      </c>
      <c r="D2" s="6179" t="s">
        <v>2263</v>
      </c>
      <c r="E2" s="6179" t="s">
        <v>2264</v>
      </c>
      <c r="F2" s="6179" t="s">
        <v>2265</v>
      </c>
      <c r="G2" s="6179" t="s">
        <v>28</v>
      </c>
      <c r="H2" s="6179" t="s">
        <v>28</v>
      </c>
      <c r="I2" s="6179" t="s">
        <v>816</v>
      </c>
    </row>
    <row customHeight="1" ht="11.25">
      <c r="A3" s="6179" t="s">
        <v>2262</v>
      </c>
      <c r="B3" s="6179" t="s">
        <v>16</v>
      </c>
      <c r="C3" s="6179" t="s">
        <v>2266</v>
      </c>
      <c r="D3" s="6179" t="s">
        <v>2267</v>
      </c>
      <c r="E3" s="6179" t="s">
        <v>2268</v>
      </c>
      <c r="F3" s="6179" t="s">
        <v>2269</v>
      </c>
      <c r="G3" s="6179" t="s">
        <v>28</v>
      </c>
      <c r="H3" s="6179" t="s">
        <v>28</v>
      </c>
      <c r="I3" s="6179" t="s">
        <v>816</v>
      </c>
    </row>
    <row customHeight="1" ht="11.25">
      <c r="A4" s="6179" t="s">
        <v>2262</v>
      </c>
      <c r="B4" s="6179" t="s">
        <v>16</v>
      </c>
      <c r="C4" s="6179" t="s">
        <v>2270</v>
      </c>
      <c r="D4" s="6179" t="s">
        <v>2271</v>
      </c>
      <c r="E4" s="6179" t="s">
        <v>2272</v>
      </c>
      <c r="F4" s="6179" t="s">
        <v>2273</v>
      </c>
      <c r="G4" s="6179" t="s">
        <v>28</v>
      </c>
      <c r="H4" s="6179" t="s">
        <v>28</v>
      </c>
      <c r="I4" s="6179" t="s">
        <v>816</v>
      </c>
    </row>
    <row customHeight="1" ht="11.25">
      <c r="A5" s="6179" t="s">
        <v>2262</v>
      </c>
      <c r="B5" s="6179" t="s">
        <v>16</v>
      </c>
      <c r="C5" s="6179" t="s">
        <v>2274</v>
      </c>
      <c r="D5" s="6179" t="s">
        <v>2275</v>
      </c>
      <c r="E5" s="6179" t="s">
        <v>2276</v>
      </c>
      <c r="F5" s="6179" t="s">
        <v>2277</v>
      </c>
      <c r="G5" s="6179" t="s">
        <v>28</v>
      </c>
      <c r="H5" s="6179" t="s">
        <v>28</v>
      </c>
      <c r="I5" s="6179" t="s">
        <v>816</v>
      </c>
    </row>
    <row customHeight="1" ht="11.25">
      <c r="A6" s="6179" t="s">
        <v>2262</v>
      </c>
      <c r="B6" s="6179" t="s">
        <v>16</v>
      </c>
      <c r="C6" s="6179" t="s">
        <v>2278</v>
      </c>
      <c r="D6" s="6179" t="s">
        <v>2279</v>
      </c>
      <c r="E6" s="6179" t="s">
        <v>2280</v>
      </c>
      <c r="F6" s="6179" t="s">
        <v>2281</v>
      </c>
      <c r="G6" s="6179" t="s">
        <v>28</v>
      </c>
      <c r="H6" s="6179" t="s">
        <v>28</v>
      </c>
      <c r="I6" s="6179" t="s">
        <v>816</v>
      </c>
    </row>
    <row customHeight="1" ht="11.25">
      <c r="A7" s="6179" t="s">
        <v>2262</v>
      </c>
      <c r="B7" s="6179" t="s">
        <v>16</v>
      </c>
      <c r="C7" s="6179" t="s">
        <v>2282</v>
      </c>
      <c r="D7" s="6179" t="s">
        <v>2279</v>
      </c>
      <c r="E7" s="6179" t="s">
        <v>2280</v>
      </c>
      <c r="F7" s="6179" t="s">
        <v>2283</v>
      </c>
      <c r="G7" s="6179" t="s">
        <v>2284</v>
      </c>
      <c r="H7" s="6179" t="s">
        <v>28</v>
      </c>
      <c r="I7" s="6179" t="s">
        <v>816</v>
      </c>
    </row>
    <row customHeight="1" ht="11.25">
      <c r="A8" s="6179" t="s">
        <v>2262</v>
      </c>
      <c r="B8" s="6179" t="s">
        <v>16</v>
      </c>
      <c r="C8" s="6179" t="s">
        <v>2285</v>
      </c>
      <c r="D8" s="6179" t="s">
        <v>2286</v>
      </c>
      <c r="E8" s="6179" t="s">
        <v>2280</v>
      </c>
      <c r="F8" s="6179" t="s">
        <v>2287</v>
      </c>
      <c r="G8" s="6179" t="s">
        <v>28</v>
      </c>
      <c r="H8" s="6179" t="s">
        <v>28</v>
      </c>
      <c r="I8" s="6179" t="s">
        <v>816</v>
      </c>
    </row>
    <row customHeight="1" ht="11.25">
      <c r="A9" s="6179" t="s">
        <v>2262</v>
      </c>
      <c r="B9" s="6179" t="s">
        <v>16</v>
      </c>
      <c r="C9" s="6179" t="s">
        <v>2288</v>
      </c>
      <c r="D9" s="6179" t="s">
        <v>2289</v>
      </c>
      <c r="E9" s="6179" t="s">
        <v>2280</v>
      </c>
      <c r="F9" s="6179" t="s">
        <v>2290</v>
      </c>
      <c r="G9" s="6179" t="s">
        <v>28</v>
      </c>
      <c r="H9" s="6179" t="s">
        <v>28</v>
      </c>
      <c r="I9" s="6179" t="s">
        <v>816</v>
      </c>
    </row>
    <row customHeight="1" ht="11.25">
      <c r="A10" s="6179" t="s">
        <v>2262</v>
      </c>
      <c r="B10" s="6179" t="s">
        <v>16</v>
      </c>
      <c r="C10" s="6179" t="s">
        <v>2291</v>
      </c>
      <c r="D10" s="6179" t="s">
        <v>2292</v>
      </c>
      <c r="E10" s="6179" t="s">
        <v>2293</v>
      </c>
      <c r="F10" s="6179" t="s">
        <v>2294</v>
      </c>
      <c r="G10" s="6179" t="s">
        <v>28</v>
      </c>
      <c r="H10" s="6179" t="s">
        <v>28</v>
      </c>
      <c r="I10" s="6179" t="s">
        <v>816</v>
      </c>
    </row>
    <row customHeight="1" ht="11.25">
      <c r="A11" s="6179" t="s">
        <v>2262</v>
      </c>
      <c r="B11" s="6179" t="s">
        <v>16</v>
      </c>
      <c r="C11" s="6179" t="s">
        <v>2295</v>
      </c>
      <c r="D11" s="6179" t="s">
        <v>2296</v>
      </c>
      <c r="E11" s="6179" t="s">
        <v>2297</v>
      </c>
      <c r="F11" s="6179" t="s">
        <v>2298</v>
      </c>
      <c r="G11" s="6179" t="s">
        <v>28</v>
      </c>
      <c r="H11" s="6179" t="s">
        <v>28</v>
      </c>
      <c r="I11" s="6179" t="s">
        <v>816</v>
      </c>
    </row>
    <row customHeight="1" ht="11.25">
      <c r="A12" s="6179" t="s">
        <v>2262</v>
      </c>
      <c r="B12" s="6179" t="s">
        <v>16</v>
      </c>
      <c r="C12" s="6179" t="s">
        <v>2299</v>
      </c>
      <c r="D12" s="6179" t="s">
        <v>2300</v>
      </c>
      <c r="E12" s="6179" t="s">
        <v>2301</v>
      </c>
      <c r="F12" s="6179" t="s">
        <v>52</v>
      </c>
      <c r="G12" s="6179" t="s">
        <v>28</v>
      </c>
      <c r="H12" s="6179" t="s">
        <v>28</v>
      </c>
      <c r="I12" s="6179" t="s">
        <v>816</v>
      </c>
    </row>
    <row customHeight="1" ht="11.25">
      <c r="A13" s="6179" t="s">
        <v>2262</v>
      </c>
      <c r="B13" s="6179" t="s">
        <v>16</v>
      </c>
      <c r="C13" s="6179" t="s">
        <v>2302</v>
      </c>
      <c r="D13" s="6179" t="s">
        <v>2303</v>
      </c>
      <c r="E13" s="6179" t="s">
        <v>2304</v>
      </c>
      <c r="F13" s="6179" t="s">
        <v>2305</v>
      </c>
      <c r="G13" s="6179" t="s">
        <v>2306</v>
      </c>
      <c r="H13" s="6179" t="s">
        <v>28</v>
      </c>
      <c r="I13" s="6179" t="s">
        <v>816</v>
      </c>
    </row>
    <row customHeight="1" ht="11.25">
      <c r="A14" s="6179" t="s">
        <v>2262</v>
      </c>
      <c r="B14" s="6179" t="s">
        <v>16</v>
      </c>
      <c r="C14" s="6179" t="s">
        <v>2307</v>
      </c>
      <c r="D14" s="6179" t="s">
        <v>2308</v>
      </c>
      <c r="E14" s="6179" t="s">
        <v>2309</v>
      </c>
      <c r="F14" s="6179" t="s">
        <v>2273</v>
      </c>
      <c r="G14" s="6179" t="s">
        <v>28</v>
      </c>
      <c r="H14" s="6179" t="s">
        <v>28</v>
      </c>
      <c r="I14" s="6179" t="s">
        <v>816</v>
      </c>
    </row>
    <row customHeight="1" ht="11.25">
      <c r="A15" s="6179" t="s">
        <v>2262</v>
      </c>
      <c r="B15" s="6179" t="s">
        <v>16</v>
      </c>
      <c r="C15" s="6179" t="s">
        <v>2310</v>
      </c>
      <c r="D15" s="6179" t="s">
        <v>2311</v>
      </c>
      <c r="E15" s="6179" t="s">
        <v>2312</v>
      </c>
      <c r="F15" s="6179" t="s">
        <v>2313</v>
      </c>
      <c r="G15" s="6179" t="s">
        <v>28</v>
      </c>
      <c r="H15" s="6179" t="s">
        <v>28</v>
      </c>
      <c r="I15" s="6179" t="s">
        <v>816</v>
      </c>
    </row>
    <row customHeight="1" ht="11.25">
      <c r="A16" s="6179" t="s">
        <v>2262</v>
      </c>
      <c r="B16" s="6179" t="s">
        <v>16</v>
      </c>
      <c r="C16" s="6179" t="s">
        <v>2314</v>
      </c>
      <c r="D16" s="6179" t="s">
        <v>2315</v>
      </c>
      <c r="E16" s="6179" t="s">
        <v>2316</v>
      </c>
      <c r="F16" s="6179" t="s">
        <v>2317</v>
      </c>
      <c r="G16" s="6179" t="s">
        <v>2318</v>
      </c>
      <c r="H16" s="6179" t="s">
        <v>28</v>
      </c>
      <c r="I16" s="6179" t="s">
        <v>816</v>
      </c>
    </row>
    <row customHeight="1" ht="11.25">
      <c r="A17" s="6179" t="s">
        <v>2262</v>
      </c>
      <c r="B17" s="6179" t="s">
        <v>16</v>
      </c>
      <c r="C17" s="6179" t="s">
        <v>2319</v>
      </c>
      <c r="D17" s="6179" t="s">
        <v>2320</v>
      </c>
      <c r="E17" s="6179" t="s">
        <v>2321</v>
      </c>
      <c r="F17" s="6179" t="s">
        <v>2322</v>
      </c>
      <c r="G17" s="6179" t="s">
        <v>2323</v>
      </c>
      <c r="H17" s="6179" t="s">
        <v>28</v>
      </c>
      <c r="I17" s="6179" t="s">
        <v>816</v>
      </c>
    </row>
    <row customHeight="1" ht="11.25">
      <c r="A18" s="6179" t="s">
        <v>2262</v>
      </c>
      <c r="B18" s="6179" t="s">
        <v>16</v>
      </c>
      <c r="C18" s="6179" t="s">
        <v>2324</v>
      </c>
      <c r="D18" s="6179" t="s">
        <v>2325</v>
      </c>
      <c r="E18" s="6179" t="s">
        <v>2326</v>
      </c>
      <c r="F18" s="6179" t="s">
        <v>2294</v>
      </c>
      <c r="G18" s="6179" t="s">
        <v>28</v>
      </c>
      <c r="H18" s="6179" t="s">
        <v>28</v>
      </c>
      <c r="I18" s="6179" t="s">
        <v>816</v>
      </c>
    </row>
    <row customHeight="1" ht="11.25">
      <c r="A19" s="6179" t="s">
        <v>2262</v>
      </c>
      <c r="B19" s="6179" t="s">
        <v>16</v>
      </c>
      <c r="C19" s="6179" t="s">
        <v>2327</v>
      </c>
      <c r="D19" s="6179" t="s">
        <v>2328</v>
      </c>
      <c r="E19" s="6179" t="s">
        <v>2329</v>
      </c>
      <c r="F19" s="6179" t="s">
        <v>2330</v>
      </c>
      <c r="G19" s="6179" t="s">
        <v>28</v>
      </c>
      <c r="H19" s="6179" t="s">
        <v>28</v>
      </c>
      <c r="I19" s="6179" t="s">
        <v>816</v>
      </c>
    </row>
    <row customHeight="1" ht="11.25">
      <c r="A20" s="6179" t="s">
        <v>2262</v>
      </c>
      <c r="B20" s="6179" t="s">
        <v>16</v>
      </c>
      <c r="C20" s="6179" t="s">
        <v>2331</v>
      </c>
      <c r="D20" s="6179" t="s">
        <v>2332</v>
      </c>
      <c r="E20" s="6179" t="s">
        <v>2333</v>
      </c>
      <c r="F20" s="6179" t="s">
        <v>52</v>
      </c>
      <c r="G20" s="6179" t="s">
        <v>2334</v>
      </c>
      <c r="H20" s="6179" t="s">
        <v>28</v>
      </c>
      <c r="I20" s="6179" t="s">
        <v>816</v>
      </c>
    </row>
    <row customHeight="1" ht="11.25">
      <c r="A21" s="6179" t="s">
        <v>2262</v>
      </c>
      <c r="B21" s="6179" t="s">
        <v>16</v>
      </c>
      <c r="C21" s="6179" t="s">
        <v>2335</v>
      </c>
      <c r="D21" s="6179" t="s">
        <v>2336</v>
      </c>
      <c r="E21" s="6179" t="s">
        <v>2337</v>
      </c>
      <c r="F21" s="6179" t="s">
        <v>2338</v>
      </c>
      <c r="G21" s="6179" t="s">
        <v>28</v>
      </c>
      <c r="H21" s="6179" t="s">
        <v>28</v>
      </c>
      <c r="I21" s="6179" t="s">
        <v>816</v>
      </c>
    </row>
    <row customHeight="1" ht="11.25">
      <c r="A22" s="6179" t="s">
        <v>2262</v>
      </c>
      <c r="B22" s="6179" t="s">
        <v>16</v>
      </c>
      <c r="C22" s="6179" t="s">
        <v>2339</v>
      </c>
      <c r="D22" s="6179" t="s">
        <v>2340</v>
      </c>
      <c r="E22" s="6179" t="s">
        <v>2341</v>
      </c>
      <c r="F22" s="6179" t="s">
        <v>2265</v>
      </c>
      <c r="G22" s="6179" t="s">
        <v>2342</v>
      </c>
      <c r="H22" s="6179" t="s">
        <v>28</v>
      </c>
      <c r="I22" s="6179" t="s">
        <v>816</v>
      </c>
    </row>
    <row customHeight="1" ht="11.25">
      <c r="A23" s="6179" t="s">
        <v>2262</v>
      </c>
      <c r="B23" s="6179" t="s">
        <v>16</v>
      </c>
      <c r="C23" s="6179" t="s">
        <v>2343</v>
      </c>
      <c r="D23" s="6179" t="s">
        <v>2344</v>
      </c>
      <c r="E23" s="6179" t="s">
        <v>2345</v>
      </c>
      <c r="F23" s="6179" t="s">
        <v>2346</v>
      </c>
      <c r="G23" s="6179" t="s">
        <v>28</v>
      </c>
      <c r="H23" s="6179" t="s">
        <v>28</v>
      </c>
      <c r="I23" s="6179" t="s">
        <v>816</v>
      </c>
    </row>
    <row customHeight="1" ht="11.25">
      <c r="A24" s="6179" t="s">
        <v>2262</v>
      </c>
      <c r="B24" s="6179" t="s">
        <v>16</v>
      </c>
      <c r="C24" s="6179" t="s">
        <v>2347</v>
      </c>
      <c r="D24" s="6179" t="s">
        <v>2348</v>
      </c>
      <c r="E24" s="6179" t="s">
        <v>2349</v>
      </c>
      <c r="F24" s="6179" t="s">
        <v>52</v>
      </c>
      <c r="G24" s="6179" t="s">
        <v>28</v>
      </c>
      <c r="H24" s="6179" t="s">
        <v>28</v>
      </c>
      <c r="I24" s="6179" t="s">
        <v>816</v>
      </c>
    </row>
    <row customHeight="1" ht="11.25">
      <c r="A25" s="6179" t="s">
        <v>2262</v>
      </c>
      <c r="B25" s="6179" t="s">
        <v>16</v>
      </c>
      <c r="C25" s="6179" t="s">
        <v>2350</v>
      </c>
      <c r="D25" s="6179" t="s">
        <v>2351</v>
      </c>
      <c r="E25" s="6179" t="s">
        <v>2352</v>
      </c>
      <c r="F25" s="6179" t="s">
        <v>2265</v>
      </c>
      <c r="G25" s="6179" t="s">
        <v>28</v>
      </c>
      <c r="H25" s="6179" t="s">
        <v>28</v>
      </c>
      <c r="I25" s="6179" t="s">
        <v>816</v>
      </c>
    </row>
    <row customHeight="1" ht="11.25">
      <c r="A26" s="6179" t="s">
        <v>2262</v>
      </c>
      <c r="B26" s="6179" t="s">
        <v>16</v>
      </c>
      <c r="C26" s="6179" t="s">
        <v>2353</v>
      </c>
      <c r="D26" s="6179" t="s">
        <v>2354</v>
      </c>
      <c r="E26" s="6179" t="s">
        <v>2355</v>
      </c>
      <c r="F26" s="6179" t="s">
        <v>2356</v>
      </c>
      <c r="G26" s="6179" t="s">
        <v>28</v>
      </c>
      <c r="H26" s="6179" t="s">
        <v>28</v>
      </c>
      <c r="I26" s="6179" t="s">
        <v>816</v>
      </c>
    </row>
    <row customHeight="1" ht="11.25">
      <c r="A27" s="6179" t="s">
        <v>2262</v>
      </c>
      <c r="B27" s="6179" t="s">
        <v>16</v>
      </c>
      <c r="C27" s="6179" t="s">
        <v>2357</v>
      </c>
      <c r="D27" s="6179" t="s">
        <v>2358</v>
      </c>
      <c r="E27" s="6179" t="s">
        <v>2359</v>
      </c>
      <c r="F27" s="6179" t="s">
        <v>2360</v>
      </c>
      <c r="G27" s="6179" t="s">
        <v>28</v>
      </c>
      <c r="H27" s="6179" t="s">
        <v>28</v>
      </c>
      <c r="I27" s="6179" t="s">
        <v>816</v>
      </c>
    </row>
    <row customHeight="1" ht="11.25">
      <c r="A28" s="6179" t="s">
        <v>2262</v>
      </c>
      <c r="B28" s="6179" t="s">
        <v>16</v>
      </c>
      <c r="C28" s="6179" t="s">
        <v>2361</v>
      </c>
      <c r="D28" s="6179" t="s">
        <v>2362</v>
      </c>
      <c r="E28" s="6179" t="s">
        <v>2359</v>
      </c>
      <c r="F28" s="6179" t="s">
        <v>2363</v>
      </c>
      <c r="G28" s="6179" t="s">
        <v>28</v>
      </c>
      <c r="H28" s="6179" t="s">
        <v>28</v>
      </c>
      <c r="I28" s="6179" t="s">
        <v>816</v>
      </c>
    </row>
    <row customHeight="1" ht="11.25">
      <c r="A29" s="6179" t="s">
        <v>2262</v>
      </c>
      <c r="B29" s="6179" t="s">
        <v>16</v>
      </c>
      <c r="C29" s="6179" t="s">
        <v>2364</v>
      </c>
      <c r="D29" s="6179" t="s">
        <v>2365</v>
      </c>
      <c r="E29" s="6179" t="s">
        <v>2366</v>
      </c>
      <c r="F29" s="6179" t="s">
        <v>2367</v>
      </c>
      <c r="G29" s="6179" t="s">
        <v>28</v>
      </c>
      <c r="H29" s="6179" t="s">
        <v>28</v>
      </c>
      <c r="I29" s="6179" t="s">
        <v>816</v>
      </c>
    </row>
    <row customHeight="1" ht="11.25">
      <c r="A30" s="6179" t="s">
        <v>2262</v>
      </c>
      <c r="B30" s="6179" t="s">
        <v>16</v>
      </c>
      <c r="C30" s="6179" t="s">
        <v>2368</v>
      </c>
      <c r="D30" s="6179" t="s">
        <v>2369</v>
      </c>
      <c r="E30" s="6179" t="s">
        <v>2370</v>
      </c>
      <c r="F30" s="6179" t="s">
        <v>2330</v>
      </c>
      <c r="G30" s="6179" t="s">
        <v>2371</v>
      </c>
      <c r="H30" s="6179" t="s">
        <v>28</v>
      </c>
      <c r="I30" s="6179" t="s">
        <v>816</v>
      </c>
    </row>
    <row customHeight="1" ht="11.25">
      <c r="A31" s="6179" t="s">
        <v>2262</v>
      </c>
      <c r="B31" s="6179" t="s">
        <v>16</v>
      </c>
      <c r="C31" s="6179" t="s">
        <v>2372</v>
      </c>
      <c r="D31" s="6179" t="s">
        <v>2373</v>
      </c>
      <c r="E31" s="6179" t="s">
        <v>2374</v>
      </c>
      <c r="F31" s="6179" t="s">
        <v>2313</v>
      </c>
      <c r="G31" s="6179" t="s">
        <v>28</v>
      </c>
      <c r="H31" s="6179" t="s">
        <v>28</v>
      </c>
      <c r="I31" s="6179" t="s">
        <v>816</v>
      </c>
    </row>
    <row customHeight="1" ht="11.25">
      <c r="A32" s="6179" t="s">
        <v>2262</v>
      </c>
      <c r="B32" s="6179" t="s">
        <v>16</v>
      </c>
      <c r="C32" s="6179" t="s">
        <v>2375</v>
      </c>
      <c r="D32" s="6179" t="s">
        <v>2376</v>
      </c>
      <c r="E32" s="6179" t="s">
        <v>2377</v>
      </c>
      <c r="F32" s="6179" t="s">
        <v>52</v>
      </c>
      <c r="G32" s="6179" t="s">
        <v>28</v>
      </c>
      <c r="H32" s="6179" t="s">
        <v>28</v>
      </c>
      <c r="I32" s="6179" t="s">
        <v>816</v>
      </c>
    </row>
    <row customHeight="1" ht="11.25">
      <c r="A33" s="6179" t="s">
        <v>2262</v>
      </c>
      <c r="B33" s="6179" t="s">
        <v>16</v>
      </c>
      <c r="C33" s="6179" t="s">
        <v>2378</v>
      </c>
      <c r="D33" s="6179" t="s">
        <v>2379</v>
      </c>
      <c r="E33" s="6179" t="s">
        <v>2380</v>
      </c>
      <c r="F33" s="6179" t="s">
        <v>584</v>
      </c>
      <c r="G33" s="6179" t="s">
        <v>2381</v>
      </c>
      <c r="H33" s="6179" t="s">
        <v>28</v>
      </c>
      <c r="I33" s="6179" t="s">
        <v>816</v>
      </c>
    </row>
    <row customHeight="1" ht="11.25">
      <c r="A34" s="6179" t="s">
        <v>2262</v>
      </c>
      <c r="B34" s="6179" t="s">
        <v>16</v>
      </c>
      <c r="C34" s="6179" t="s">
        <v>2382</v>
      </c>
      <c r="D34" s="6179" t="s">
        <v>2383</v>
      </c>
      <c r="E34" s="6179" t="s">
        <v>2384</v>
      </c>
      <c r="F34" s="6179" t="s">
        <v>52</v>
      </c>
      <c r="G34" s="6179" t="s">
        <v>28</v>
      </c>
      <c r="H34" s="6179" t="s">
        <v>28</v>
      </c>
      <c r="I34" s="6179" t="s">
        <v>816</v>
      </c>
    </row>
    <row customHeight="1" ht="11.25">
      <c r="A35" s="6179" t="s">
        <v>2262</v>
      </c>
      <c r="B35" s="6179" t="s">
        <v>16</v>
      </c>
      <c r="C35" s="6179" t="s">
        <v>2385</v>
      </c>
      <c r="D35" s="6179" t="s">
        <v>2386</v>
      </c>
      <c r="E35" s="6179" t="s">
        <v>2387</v>
      </c>
      <c r="F35" s="6179" t="s">
        <v>2388</v>
      </c>
      <c r="G35" s="6179" t="s">
        <v>2389</v>
      </c>
      <c r="H35" s="6179" t="s">
        <v>28</v>
      </c>
      <c r="I35" s="6179" t="s">
        <v>816</v>
      </c>
    </row>
    <row customHeight="1" ht="11.25">
      <c r="A36" s="6179" t="s">
        <v>2262</v>
      </c>
      <c r="B36" s="6179" t="s">
        <v>16</v>
      </c>
      <c r="C36" s="6179" t="s">
        <v>2390</v>
      </c>
      <c r="D36" s="6179" t="s">
        <v>2391</v>
      </c>
      <c r="E36" s="6179" t="s">
        <v>2392</v>
      </c>
      <c r="F36" s="6179" t="s">
        <v>2367</v>
      </c>
      <c r="G36" s="6179" t="s">
        <v>28</v>
      </c>
      <c r="H36" s="6179" t="s">
        <v>28</v>
      </c>
      <c r="I36" s="6179" t="s">
        <v>816</v>
      </c>
    </row>
    <row customHeight="1" ht="11.25">
      <c r="A37" s="6179" t="s">
        <v>2262</v>
      </c>
      <c r="B37" s="6179" t="s">
        <v>16</v>
      </c>
      <c r="C37" s="6179" t="s">
        <v>2393</v>
      </c>
      <c r="D37" s="6179" t="s">
        <v>2394</v>
      </c>
      <c r="E37" s="6179" t="s">
        <v>2395</v>
      </c>
      <c r="F37" s="6179" t="s">
        <v>2396</v>
      </c>
      <c r="G37" s="6179" t="s">
        <v>28</v>
      </c>
      <c r="H37" s="6179" t="s">
        <v>28</v>
      </c>
      <c r="I37" s="6179" t="s">
        <v>816</v>
      </c>
    </row>
    <row customHeight="1" ht="11.25">
      <c r="A38" s="6179" t="s">
        <v>2262</v>
      </c>
      <c r="B38" s="6179" t="s">
        <v>16</v>
      </c>
      <c r="C38" s="6179" t="s">
        <v>2397</v>
      </c>
      <c r="D38" s="6179" t="s">
        <v>2398</v>
      </c>
      <c r="E38" s="6179" t="s">
        <v>2399</v>
      </c>
      <c r="F38" s="6179" t="s">
        <v>2367</v>
      </c>
      <c r="G38" s="6179" t="s">
        <v>28</v>
      </c>
      <c r="H38" s="6179" t="s">
        <v>28</v>
      </c>
      <c r="I38" s="6179" t="s">
        <v>816</v>
      </c>
    </row>
    <row customHeight="1" ht="11.25">
      <c r="A39" s="6179" t="s">
        <v>2262</v>
      </c>
      <c r="B39" s="6179" t="s">
        <v>16</v>
      </c>
      <c r="C39" s="6179" t="s">
        <v>2400</v>
      </c>
      <c r="D39" s="6179" t="s">
        <v>2401</v>
      </c>
      <c r="E39" s="6179" t="s">
        <v>2402</v>
      </c>
      <c r="F39" s="6179" t="s">
        <v>52</v>
      </c>
      <c r="G39" s="6179" t="s">
        <v>28</v>
      </c>
      <c r="H39" s="6179" t="s">
        <v>28</v>
      </c>
      <c r="I39" s="6179" t="s">
        <v>816</v>
      </c>
    </row>
    <row customHeight="1" ht="11.25">
      <c r="A40" s="6179" t="s">
        <v>2262</v>
      </c>
      <c r="B40" s="6179" t="s">
        <v>16</v>
      </c>
      <c r="C40" s="6179" t="s">
        <v>2403</v>
      </c>
      <c r="D40" s="6179" t="s">
        <v>2404</v>
      </c>
      <c r="E40" s="6179" t="s">
        <v>2405</v>
      </c>
      <c r="F40" s="6179" t="s">
        <v>2406</v>
      </c>
      <c r="G40" s="6179" t="s">
        <v>28</v>
      </c>
      <c r="H40" s="6179" t="s">
        <v>28</v>
      </c>
      <c r="I40" s="6179" t="s">
        <v>816</v>
      </c>
    </row>
    <row customHeight="1" ht="11.25">
      <c r="A41" s="6179" t="s">
        <v>2262</v>
      </c>
      <c r="B41" s="6179" t="s">
        <v>16</v>
      </c>
      <c r="C41" s="6179" t="s">
        <v>2407</v>
      </c>
      <c r="D41" s="6179" t="s">
        <v>2408</v>
      </c>
      <c r="E41" s="6179" t="s">
        <v>2409</v>
      </c>
      <c r="F41" s="6179" t="s">
        <v>2406</v>
      </c>
      <c r="G41" s="6179" t="s">
        <v>28</v>
      </c>
      <c r="H41" s="6179" t="s">
        <v>28</v>
      </c>
      <c r="I41" s="6179" t="s">
        <v>816</v>
      </c>
    </row>
    <row customHeight="1" ht="11.25">
      <c r="A42" s="6179" t="s">
        <v>2262</v>
      </c>
      <c r="B42" s="6179" t="s">
        <v>16</v>
      </c>
      <c r="C42" s="6179" t="s">
        <v>2410</v>
      </c>
      <c r="D42" s="6179" t="s">
        <v>2411</v>
      </c>
      <c r="E42" s="6179" t="s">
        <v>2412</v>
      </c>
      <c r="F42" s="6179" t="s">
        <v>2273</v>
      </c>
      <c r="G42" s="6179" t="s">
        <v>2413</v>
      </c>
      <c r="H42" s="6179" t="s">
        <v>28</v>
      </c>
      <c r="I42" s="6179" t="s">
        <v>816</v>
      </c>
    </row>
    <row customHeight="1" ht="11.25">
      <c r="A43" s="6179" t="s">
        <v>2262</v>
      </c>
      <c r="B43" s="6179" t="s">
        <v>16</v>
      </c>
      <c r="C43" s="6179" t="s">
        <v>2414</v>
      </c>
      <c r="D43" s="6179" t="s">
        <v>2415</v>
      </c>
      <c r="E43" s="6179" t="s">
        <v>2416</v>
      </c>
      <c r="F43" s="6179" t="s">
        <v>2417</v>
      </c>
      <c r="G43" s="6179" t="s">
        <v>28</v>
      </c>
      <c r="H43" s="6179" t="s">
        <v>28</v>
      </c>
      <c r="I43" s="6179" t="s">
        <v>816</v>
      </c>
    </row>
    <row customHeight="1" ht="11.25">
      <c r="A44" s="6179" t="s">
        <v>2262</v>
      </c>
      <c r="B44" s="6179" t="s">
        <v>16</v>
      </c>
      <c r="C44" s="6179" t="s">
        <v>2418</v>
      </c>
      <c r="D44" s="6179" t="s">
        <v>2419</v>
      </c>
      <c r="E44" s="6179" t="s">
        <v>2420</v>
      </c>
      <c r="F44" s="6179" t="s">
        <v>2294</v>
      </c>
      <c r="G44" s="6179" t="s">
        <v>28</v>
      </c>
      <c r="H44" s="6179" t="s">
        <v>28</v>
      </c>
      <c r="I44" s="6179" t="s">
        <v>816</v>
      </c>
    </row>
    <row customHeight="1" ht="11.25">
      <c r="A45" s="6179" t="s">
        <v>2262</v>
      </c>
      <c r="B45" s="6179" t="s">
        <v>16</v>
      </c>
      <c r="C45" s="6179" t="s">
        <v>2421</v>
      </c>
      <c r="D45" s="6179" t="s">
        <v>2422</v>
      </c>
      <c r="E45" s="6179" t="s">
        <v>2423</v>
      </c>
      <c r="F45" s="6179" t="s">
        <v>2424</v>
      </c>
      <c r="G45" s="6179" t="s">
        <v>28</v>
      </c>
      <c r="H45" s="6179" t="s">
        <v>28</v>
      </c>
      <c r="I45" s="6179" t="s">
        <v>816</v>
      </c>
    </row>
    <row customHeight="1" ht="11.25">
      <c r="A46" s="6179" t="s">
        <v>2262</v>
      </c>
      <c r="B46" s="6179" t="s">
        <v>16</v>
      </c>
      <c r="C46" s="6179" t="s">
        <v>2425</v>
      </c>
      <c r="D46" s="6179" t="s">
        <v>2426</v>
      </c>
      <c r="E46" s="6179" t="s">
        <v>2427</v>
      </c>
      <c r="F46" s="6179" t="s">
        <v>2428</v>
      </c>
      <c r="G46" s="6179" t="s">
        <v>28</v>
      </c>
      <c r="H46" s="6179" t="s">
        <v>28</v>
      </c>
      <c r="I46" s="6179" t="s">
        <v>816</v>
      </c>
    </row>
    <row customHeight="1" ht="11.25">
      <c r="A47" s="6179" t="s">
        <v>2262</v>
      </c>
      <c r="B47" s="6179" t="s">
        <v>16</v>
      </c>
      <c r="C47" s="6179" t="s">
        <v>2429</v>
      </c>
      <c r="D47" s="6179" t="s">
        <v>2430</v>
      </c>
      <c r="E47" s="6179" t="s">
        <v>2431</v>
      </c>
      <c r="F47" s="6179" t="s">
        <v>2428</v>
      </c>
      <c r="G47" s="6179" t="s">
        <v>28</v>
      </c>
      <c r="H47" s="6179" t="s">
        <v>28</v>
      </c>
      <c r="I47" s="6179" t="s">
        <v>816</v>
      </c>
    </row>
    <row customHeight="1" ht="11.25">
      <c r="A48" s="6179" t="s">
        <v>2262</v>
      </c>
      <c r="B48" s="6179" t="s">
        <v>16</v>
      </c>
      <c r="C48" s="6179" t="s">
        <v>2432</v>
      </c>
      <c r="D48" s="6179" t="s">
        <v>2433</v>
      </c>
      <c r="E48" s="6179" t="s">
        <v>2434</v>
      </c>
      <c r="F48" s="6179" t="s">
        <v>2435</v>
      </c>
      <c r="G48" s="6179" t="s">
        <v>28</v>
      </c>
      <c r="H48" s="6179" t="s">
        <v>28</v>
      </c>
      <c r="I48" s="6179" t="s">
        <v>816</v>
      </c>
    </row>
    <row customHeight="1" ht="11.25">
      <c r="A49" s="6179" t="s">
        <v>2262</v>
      </c>
      <c r="B49" s="6179" t="s">
        <v>16</v>
      </c>
      <c r="C49" s="6179" t="s">
        <v>13</v>
      </c>
      <c r="D49" s="6179" t="s">
        <v>47</v>
      </c>
      <c r="E49" s="6179" t="s">
        <v>50</v>
      </c>
      <c r="F49" s="6179" t="s">
        <v>52</v>
      </c>
      <c r="G49" s="6179" t="s">
        <v>28</v>
      </c>
      <c r="H49" s="6179" t="s">
        <v>28</v>
      </c>
      <c r="I49" s="6179" t="s">
        <v>816</v>
      </c>
    </row>
    <row customHeight="1" ht="11.25">
      <c r="A50" s="6179" t="s">
        <v>2262</v>
      </c>
      <c r="B50" s="6179" t="s">
        <v>16</v>
      </c>
      <c r="C50" s="6179" t="s">
        <v>2436</v>
      </c>
      <c r="D50" s="6179" t="s">
        <v>2437</v>
      </c>
      <c r="E50" s="6179" t="s">
        <v>2438</v>
      </c>
      <c r="F50" s="6179" t="s">
        <v>2424</v>
      </c>
      <c r="G50" s="6179" t="s">
        <v>28</v>
      </c>
      <c r="H50" s="6179" t="s">
        <v>28</v>
      </c>
      <c r="I50" s="6179" t="s">
        <v>816</v>
      </c>
    </row>
    <row customHeight="1" ht="11.25">
      <c r="A51" s="6179" t="s">
        <v>2262</v>
      </c>
      <c r="B51" s="6179" t="s">
        <v>16</v>
      </c>
      <c r="C51" s="6179" t="s">
        <v>2439</v>
      </c>
      <c r="D51" s="6179" t="s">
        <v>2440</v>
      </c>
      <c r="E51" s="6179" t="s">
        <v>2441</v>
      </c>
      <c r="F51" s="6179" t="s">
        <v>2442</v>
      </c>
      <c r="G51" s="6179" t="s">
        <v>28</v>
      </c>
      <c r="H51" s="6179" t="s">
        <v>28</v>
      </c>
      <c r="I51" s="6179" t="s">
        <v>816</v>
      </c>
    </row>
    <row customHeight="1" ht="11.25">
      <c r="A52" s="6179" t="s">
        <v>2262</v>
      </c>
      <c r="B52" s="6179" t="s">
        <v>16</v>
      </c>
      <c r="C52" s="6179" t="s">
        <v>2443</v>
      </c>
      <c r="D52" s="6179" t="s">
        <v>2444</v>
      </c>
      <c r="E52" s="6179" t="s">
        <v>2445</v>
      </c>
      <c r="F52" s="6179" t="s">
        <v>2406</v>
      </c>
      <c r="G52" s="6179" t="s">
        <v>28</v>
      </c>
      <c r="H52" s="6179" t="s">
        <v>28</v>
      </c>
      <c r="I52" s="6179" t="s">
        <v>816</v>
      </c>
    </row>
    <row customHeight="1" ht="11.25">
      <c r="A53" s="6179" t="s">
        <v>2262</v>
      </c>
      <c r="B53" s="6179" t="s">
        <v>16</v>
      </c>
      <c r="C53" s="6179" t="s">
        <v>2446</v>
      </c>
      <c r="D53" s="6179" t="s">
        <v>2447</v>
      </c>
      <c r="E53" s="6179" t="s">
        <v>2448</v>
      </c>
      <c r="F53" s="6179" t="s">
        <v>2449</v>
      </c>
      <c r="G53" s="6179" t="s">
        <v>28</v>
      </c>
      <c r="H53" s="6179" t="s">
        <v>28</v>
      </c>
      <c r="I53" s="6179" t="s">
        <v>816</v>
      </c>
    </row>
    <row customHeight="1" ht="11.25">
      <c r="A54" s="6179" t="s">
        <v>2262</v>
      </c>
      <c r="B54" s="6179" t="s">
        <v>16</v>
      </c>
      <c r="C54" s="6179" t="s">
        <v>2450</v>
      </c>
      <c r="D54" s="6179" t="s">
        <v>2451</v>
      </c>
      <c r="E54" s="6179" t="s">
        <v>2452</v>
      </c>
      <c r="F54" s="6179" t="s">
        <v>2313</v>
      </c>
      <c r="G54" s="6179" t="s">
        <v>28</v>
      </c>
      <c r="H54" s="6179" t="s">
        <v>28</v>
      </c>
      <c r="I54" s="6179" t="s">
        <v>816</v>
      </c>
    </row>
    <row customHeight="1" ht="11.25">
      <c r="A55" s="6179" t="s">
        <v>2262</v>
      </c>
      <c r="B55" s="6179" t="s">
        <v>16</v>
      </c>
      <c r="C55" s="6179" t="s">
        <v>2453</v>
      </c>
      <c r="D55" s="6179" t="s">
        <v>2454</v>
      </c>
      <c r="E55" s="6179" t="s">
        <v>2455</v>
      </c>
      <c r="F55" s="6179" t="s">
        <v>2456</v>
      </c>
      <c r="G55" s="6179" t="s">
        <v>28</v>
      </c>
      <c r="H55" s="6179" t="s">
        <v>28</v>
      </c>
      <c r="I55" s="6179" t="s">
        <v>816</v>
      </c>
    </row>
    <row customHeight="1" ht="11.25">
      <c r="A56" s="6179" t="s">
        <v>2262</v>
      </c>
      <c r="B56" s="6179" t="s">
        <v>16</v>
      </c>
      <c r="C56" s="6179" t="s">
        <v>2457</v>
      </c>
      <c r="D56" s="6179" t="s">
        <v>2458</v>
      </c>
      <c r="E56" s="6179" t="s">
        <v>2280</v>
      </c>
      <c r="F56" s="6179" t="s">
        <v>2459</v>
      </c>
      <c r="G56" s="6179" t="s">
        <v>28</v>
      </c>
      <c r="H56" s="6179" t="s">
        <v>28</v>
      </c>
      <c r="I56" s="6179" t="s">
        <v>816</v>
      </c>
    </row>
    <row customHeight="1" ht="11.25">
      <c r="A57" s="6179" t="s">
        <v>2262</v>
      </c>
      <c r="B57" s="6179" t="s">
        <v>16</v>
      </c>
      <c r="C57" s="6179" t="s">
        <v>2460</v>
      </c>
      <c r="D57" s="6179" t="s">
        <v>2461</v>
      </c>
      <c r="E57" s="6179" t="s">
        <v>2462</v>
      </c>
      <c r="F57" s="6179" t="s">
        <v>2463</v>
      </c>
      <c r="G57" s="6179" t="s">
        <v>28</v>
      </c>
      <c r="H57" s="6179" t="s">
        <v>28</v>
      </c>
      <c r="I57" s="6179" t="s">
        <v>816</v>
      </c>
    </row>
    <row customHeight="1" ht="11.25">
      <c r="A58" s="6179" t="s">
        <v>2262</v>
      </c>
      <c r="B58" s="6179" t="s">
        <v>16</v>
      </c>
      <c r="C58" s="6179" t="s">
        <v>2464</v>
      </c>
      <c r="D58" s="6179" t="s">
        <v>2465</v>
      </c>
      <c r="E58" s="6179" t="s">
        <v>2466</v>
      </c>
      <c r="F58" s="6179" t="s">
        <v>2463</v>
      </c>
      <c r="G58" s="6179" t="s">
        <v>28</v>
      </c>
      <c r="H58" s="6179" t="s">
        <v>28</v>
      </c>
      <c r="I58" s="6179" t="s">
        <v>816</v>
      </c>
    </row>
    <row customHeight="1" ht="11.25">
      <c r="A59" s="6179" t="s">
        <v>2262</v>
      </c>
      <c r="B59" s="6179" t="s">
        <v>16</v>
      </c>
      <c r="C59" s="6179" t="s">
        <v>2467</v>
      </c>
      <c r="D59" s="6179" t="s">
        <v>2468</v>
      </c>
      <c r="E59" s="6179" t="s">
        <v>2469</v>
      </c>
      <c r="F59" s="6179" t="s">
        <v>2428</v>
      </c>
      <c r="G59" s="6179" t="s">
        <v>28</v>
      </c>
      <c r="H59" s="6179" t="s">
        <v>28</v>
      </c>
      <c r="I59" s="6179" t="s">
        <v>816</v>
      </c>
    </row>
    <row customHeight="1" ht="11.25">
      <c r="A60" s="6179" t="s">
        <v>2262</v>
      </c>
      <c r="B60" s="6179" t="s">
        <v>16</v>
      </c>
      <c r="C60" s="6179" t="s">
        <v>2470</v>
      </c>
      <c r="D60" s="6179" t="s">
        <v>2471</v>
      </c>
      <c r="E60" s="6179" t="s">
        <v>2472</v>
      </c>
      <c r="F60" s="6179" t="s">
        <v>52</v>
      </c>
      <c r="G60" s="6179" t="s">
        <v>28</v>
      </c>
      <c r="H60" s="6179" t="s">
        <v>28</v>
      </c>
      <c r="I60" s="6179" t="s">
        <v>816</v>
      </c>
    </row>
    <row customHeight="1" ht="11.25">
      <c r="A61" s="6179" t="s">
        <v>2262</v>
      </c>
      <c r="B61" s="6179" t="s">
        <v>16</v>
      </c>
      <c r="C61" s="6179" t="s">
        <v>2473</v>
      </c>
      <c r="D61" s="6179" t="s">
        <v>2474</v>
      </c>
      <c r="E61" s="6179" t="s">
        <v>2359</v>
      </c>
      <c r="F61" s="6179" t="s">
        <v>2475</v>
      </c>
      <c r="G61" s="6179" t="s">
        <v>28</v>
      </c>
      <c r="H61" s="6179" t="s">
        <v>28</v>
      </c>
      <c r="I61" s="6179" t="s">
        <v>816</v>
      </c>
    </row>
    <row customHeight="1" ht="11.25">
      <c r="A62" s="6179" t="s">
        <v>2262</v>
      </c>
      <c r="B62" s="6179" t="s">
        <v>16</v>
      </c>
      <c r="C62" s="6179" t="s">
        <v>2476</v>
      </c>
      <c r="D62" s="6179" t="s">
        <v>2477</v>
      </c>
      <c r="E62" s="6179" t="s">
        <v>2478</v>
      </c>
      <c r="F62" s="6179" t="s">
        <v>2428</v>
      </c>
      <c r="G62" s="6179" t="s">
        <v>28</v>
      </c>
      <c r="H62" s="6179" t="s">
        <v>28</v>
      </c>
      <c r="I62" s="6179" t="s">
        <v>816</v>
      </c>
    </row>
    <row customHeight="1" ht="11.25">
      <c r="A63" s="6179" t="s">
        <v>2262</v>
      </c>
      <c r="B63" s="6179" t="s">
        <v>16</v>
      </c>
      <c r="C63" s="6179" t="s">
        <v>2479</v>
      </c>
      <c r="D63" s="6179" t="s">
        <v>2480</v>
      </c>
      <c r="E63" s="6179" t="s">
        <v>2481</v>
      </c>
      <c r="F63" s="6179" t="s">
        <v>2283</v>
      </c>
      <c r="G63" s="6179" t="s">
        <v>28</v>
      </c>
      <c r="H63" s="6179" t="s">
        <v>28</v>
      </c>
      <c r="I63" s="6179" t="s">
        <v>816</v>
      </c>
    </row>
    <row customHeight="1" ht="11.25">
      <c r="A64" s="6179" t="s">
        <v>2262</v>
      </c>
      <c r="B64" s="6179" t="s">
        <v>16</v>
      </c>
      <c r="C64" s="6179" t="s">
        <v>2482</v>
      </c>
      <c r="D64" s="6179" t="s">
        <v>2483</v>
      </c>
      <c r="E64" s="6179" t="s">
        <v>2484</v>
      </c>
      <c r="F64" s="6179" t="s">
        <v>2313</v>
      </c>
      <c r="G64" s="6179" t="s">
        <v>28</v>
      </c>
      <c r="H64" s="6179" t="s">
        <v>28</v>
      </c>
      <c r="I64" s="6179" t="s">
        <v>816</v>
      </c>
    </row>
    <row customHeight="1" ht="11.25">
      <c r="A65" s="6179" t="s">
        <v>2262</v>
      </c>
      <c r="B65" s="6179" t="s">
        <v>16</v>
      </c>
      <c r="C65" s="6179" t="s">
        <v>2485</v>
      </c>
      <c r="D65" s="6179" t="s">
        <v>2486</v>
      </c>
      <c r="E65" s="6179" t="s">
        <v>2487</v>
      </c>
      <c r="F65" s="6179" t="s">
        <v>2269</v>
      </c>
      <c r="G65" s="6179" t="s">
        <v>28</v>
      </c>
      <c r="H65" s="6179" t="s">
        <v>28</v>
      </c>
      <c r="I65" s="6179" t="s">
        <v>816</v>
      </c>
    </row>
    <row customHeight="1" ht="11.25">
      <c r="A66" s="6179" t="s">
        <v>2262</v>
      </c>
      <c r="B66" s="6179" t="s">
        <v>16</v>
      </c>
      <c r="C66" s="6179" t="s">
        <v>2488</v>
      </c>
      <c r="D66" s="6179" t="s">
        <v>2489</v>
      </c>
      <c r="E66" s="6179" t="s">
        <v>2490</v>
      </c>
      <c r="F66" s="6179" t="s">
        <v>2406</v>
      </c>
      <c r="G66" s="6179" t="s">
        <v>28</v>
      </c>
      <c r="H66" s="6179" t="s">
        <v>28</v>
      </c>
      <c r="I66" s="6179" t="s">
        <v>816</v>
      </c>
    </row>
    <row customHeight="1" ht="11.25">
      <c r="A67" s="6179" t="s">
        <v>2262</v>
      </c>
      <c r="B67" s="6179" t="s">
        <v>16</v>
      </c>
      <c r="C67" s="6179" t="s">
        <v>2491</v>
      </c>
      <c r="D67" s="6179" t="s">
        <v>2492</v>
      </c>
      <c r="E67" s="6179" t="s">
        <v>2493</v>
      </c>
      <c r="F67" s="6179" t="s">
        <v>2494</v>
      </c>
      <c r="G67" s="6179" t="s">
        <v>2495</v>
      </c>
      <c r="H67" s="6179" t="s">
        <v>28</v>
      </c>
      <c r="I67" s="6179" t="s">
        <v>816</v>
      </c>
    </row>
    <row customHeight="1" ht="11.25">
      <c r="A68" s="6179" t="s">
        <v>2262</v>
      </c>
      <c r="B68" s="6179" t="s">
        <v>16</v>
      </c>
      <c r="C68" s="6179" t="s">
        <v>2496</v>
      </c>
      <c r="D68" s="6179" t="s">
        <v>2497</v>
      </c>
      <c r="E68" s="6179" t="s">
        <v>2498</v>
      </c>
      <c r="F68" s="6179" t="s">
        <v>2269</v>
      </c>
      <c r="G68" s="6179" t="s">
        <v>2499</v>
      </c>
      <c r="H68" s="6179" t="s">
        <v>28</v>
      </c>
      <c r="I68" s="6179" t="s">
        <v>816</v>
      </c>
    </row>
    <row customHeight="1" ht="11.25">
      <c r="A69" s="6179" t="s">
        <v>2262</v>
      </c>
      <c r="B69" s="6179" t="s">
        <v>16</v>
      </c>
      <c r="C69" s="6179" t="s">
        <v>2500</v>
      </c>
      <c r="D69" s="6179" t="s">
        <v>2501</v>
      </c>
      <c r="E69" s="6179" t="s">
        <v>2502</v>
      </c>
      <c r="F69" s="6179" t="s">
        <v>2269</v>
      </c>
      <c r="G69" s="6179" t="s">
        <v>2503</v>
      </c>
      <c r="H69" s="6179" t="s">
        <v>28</v>
      </c>
      <c r="I69" s="6179" t="s">
        <v>816</v>
      </c>
    </row>
    <row customHeight="1" ht="11.25">
      <c r="A70" s="6179" t="s">
        <v>2262</v>
      </c>
      <c r="B70" s="6179" t="s">
        <v>16</v>
      </c>
      <c r="C70" s="6179" t="s">
        <v>2504</v>
      </c>
      <c r="D70" s="6179" t="s">
        <v>2505</v>
      </c>
      <c r="E70" s="6179" t="s">
        <v>2506</v>
      </c>
      <c r="F70" s="6179" t="s">
        <v>2507</v>
      </c>
      <c r="G70" s="6179" t="s">
        <v>28</v>
      </c>
      <c r="H70" s="6179" t="s">
        <v>28</v>
      </c>
      <c r="I70" s="6179" t="s">
        <v>816</v>
      </c>
    </row>
    <row customHeight="1" ht="11.25">
      <c r="A71" s="6179" t="s">
        <v>2262</v>
      </c>
      <c r="B71" s="6179" t="s">
        <v>16</v>
      </c>
      <c r="C71" s="6179" t="s">
        <v>2508</v>
      </c>
      <c r="D71" s="6179" t="s">
        <v>2509</v>
      </c>
      <c r="E71" s="6179" t="s">
        <v>2510</v>
      </c>
      <c r="F71" s="6179" t="s">
        <v>2494</v>
      </c>
      <c r="G71" s="6179" t="s">
        <v>28</v>
      </c>
      <c r="H71" s="6179" t="s">
        <v>28</v>
      </c>
      <c r="I71" s="6179" t="s">
        <v>816</v>
      </c>
    </row>
    <row customHeight="1" ht="11.25">
      <c r="A72" s="6179" t="s">
        <v>2262</v>
      </c>
      <c r="B72" s="6179" t="s">
        <v>16</v>
      </c>
      <c r="C72" s="6179" t="s">
        <v>2511</v>
      </c>
      <c r="D72" s="6179" t="s">
        <v>2512</v>
      </c>
      <c r="E72" s="6179" t="s">
        <v>2513</v>
      </c>
      <c r="F72" s="6179" t="s">
        <v>2313</v>
      </c>
      <c r="G72" s="6179" t="s">
        <v>28</v>
      </c>
      <c r="H72" s="6179" t="s">
        <v>28</v>
      </c>
      <c r="I72" s="6179" t="s">
        <v>816</v>
      </c>
    </row>
    <row customHeight="1" ht="11.25">
      <c r="A73" s="6179" t="s">
        <v>2262</v>
      </c>
      <c r="B73" s="6179" t="s">
        <v>16</v>
      </c>
      <c r="C73" s="6179" t="s">
        <v>2514</v>
      </c>
      <c r="D73" s="6179" t="s">
        <v>2515</v>
      </c>
      <c r="E73" s="6179" t="s">
        <v>2516</v>
      </c>
      <c r="F73" s="6179" t="s">
        <v>2494</v>
      </c>
      <c r="G73" s="6179" t="s">
        <v>28</v>
      </c>
      <c r="H73" s="6179" t="s">
        <v>28</v>
      </c>
      <c r="I73" s="6179" t="s">
        <v>816</v>
      </c>
    </row>
    <row customHeight="1" ht="11.25">
      <c r="A74" s="6179" t="s">
        <v>2262</v>
      </c>
      <c r="B74" s="6179" t="s">
        <v>16</v>
      </c>
      <c r="C74" s="6179" t="s">
        <v>2517</v>
      </c>
      <c r="D74" s="6179" t="s">
        <v>2518</v>
      </c>
      <c r="E74" s="6179" t="s">
        <v>2519</v>
      </c>
      <c r="F74" s="6179" t="s">
        <v>2396</v>
      </c>
      <c r="G74" s="6179" t="s">
        <v>2520</v>
      </c>
      <c r="H74" s="6179" t="s">
        <v>28</v>
      </c>
      <c r="I74" s="6179" t="s">
        <v>816</v>
      </c>
    </row>
    <row customHeight="1" ht="11.25">
      <c r="A75" s="6179" t="s">
        <v>2262</v>
      </c>
      <c r="B75" s="6179" t="s">
        <v>16</v>
      </c>
      <c r="C75" s="6179" t="s">
        <v>2521</v>
      </c>
      <c r="D75" s="6179" t="s">
        <v>2522</v>
      </c>
      <c r="E75" s="6179" t="s">
        <v>2523</v>
      </c>
      <c r="F75" s="6179" t="s">
        <v>2524</v>
      </c>
      <c r="G75" s="6179" t="s">
        <v>2525</v>
      </c>
      <c r="H75" s="6179" t="s">
        <v>28</v>
      </c>
      <c r="I75" s="6179" t="s">
        <v>816</v>
      </c>
    </row>
    <row customHeight="1" ht="11.25">
      <c r="A76" s="6179" t="s">
        <v>2262</v>
      </c>
      <c r="B76" s="6179" t="s">
        <v>16</v>
      </c>
      <c r="C76" s="6179" t="s">
        <v>2526</v>
      </c>
      <c r="D76" s="6179" t="s">
        <v>2527</v>
      </c>
      <c r="E76" s="6179" t="s">
        <v>2528</v>
      </c>
      <c r="F76" s="6179" t="s">
        <v>2494</v>
      </c>
      <c r="G76" s="6179" t="s">
        <v>28</v>
      </c>
      <c r="H76" s="6179" t="s">
        <v>28</v>
      </c>
      <c r="I76" s="6179" t="s">
        <v>816</v>
      </c>
    </row>
    <row customHeight="1" ht="11.25">
      <c r="A77" s="6179" t="s">
        <v>2262</v>
      </c>
      <c r="B77" s="6179" t="s">
        <v>16</v>
      </c>
      <c r="C77" s="6179" t="s">
        <v>2529</v>
      </c>
      <c r="D77" s="6179" t="s">
        <v>2530</v>
      </c>
      <c r="E77" s="6179" t="s">
        <v>2531</v>
      </c>
      <c r="F77" s="6179" t="s">
        <v>2494</v>
      </c>
      <c r="G77" s="6179" t="s">
        <v>28</v>
      </c>
      <c r="H77" s="6179" t="s">
        <v>28</v>
      </c>
      <c r="I77" s="6179" t="s">
        <v>816</v>
      </c>
    </row>
    <row customHeight="1" ht="11.25">
      <c r="A78" s="6179" t="s">
        <v>2262</v>
      </c>
      <c r="B78" s="6179" t="s">
        <v>16</v>
      </c>
      <c r="C78" s="6179" t="s">
        <v>2532</v>
      </c>
      <c r="D78" s="6179" t="s">
        <v>2533</v>
      </c>
      <c r="E78" s="6179" t="s">
        <v>2534</v>
      </c>
      <c r="F78" s="6179" t="s">
        <v>2535</v>
      </c>
      <c r="G78" s="6179" t="s">
        <v>28</v>
      </c>
      <c r="H78" s="6179" t="s">
        <v>28</v>
      </c>
      <c r="I78" s="6179" t="s">
        <v>816</v>
      </c>
    </row>
    <row customHeight="1" ht="11.25">
      <c r="A79" s="6179" t="s">
        <v>2262</v>
      </c>
      <c r="B79" s="6179" t="s">
        <v>16</v>
      </c>
      <c r="C79" s="6179" t="s">
        <v>2536</v>
      </c>
      <c r="D79" s="6179" t="s">
        <v>2537</v>
      </c>
      <c r="E79" s="6179" t="s">
        <v>2538</v>
      </c>
      <c r="F79" s="6179" t="s">
        <v>2265</v>
      </c>
      <c r="G79" s="6179" t="s">
        <v>28</v>
      </c>
      <c r="H79" s="6179" t="s">
        <v>28</v>
      </c>
      <c r="I79" s="6179" t="s">
        <v>816</v>
      </c>
    </row>
    <row customHeight="1" ht="11.25">
      <c r="A80" s="6179" t="s">
        <v>2262</v>
      </c>
      <c r="B80" s="6179" t="s">
        <v>16</v>
      </c>
      <c r="C80" s="6179" t="s">
        <v>2539</v>
      </c>
      <c r="D80" s="6179" t="s">
        <v>2540</v>
      </c>
      <c r="E80" s="6179" t="s">
        <v>2541</v>
      </c>
      <c r="F80" s="6179" t="s">
        <v>52</v>
      </c>
      <c r="G80" s="6179" t="s">
        <v>28</v>
      </c>
      <c r="H80" s="6179" t="s">
        <v>28</v>
      </c>
      <c r="I80" s="6179" t="s">
        <v>816</v>
      </c>
    </row>
    <row customHeight="1" ht="11.25">
      <c r="A81" s="6179" t="s">
        <v>2262</v>
      </c>
      <c r="B81" s="6179" t="s">
        <v>16</v>
      </c>
      <c r="C81" s="6179" t="s">
        <v>2542</v>
      </c>
      <c r="D81" s="6179" t="s">
        <v>2543</v>
      </c>
      <c r="E81" s="6179" t="s">
        <v>2544</v>
      </c>
      <c r="F81" s="6179" t="s">
        <v>2269</v>
      </c>
      <c r="G81" s="6179" t="s">
        <v>28</v>
      </c>
      <c r="H81" s="6179" t="s">
        <v>28</v>
      </c>
      <c r="I81" s="6179" t="s">
        <v>816</v>
      </c>
    </row>
    <row customHeight="1" ht="11.25">
      <c r="A82" s="6179" t="s">
        <v>2262</v>
      </c>
      <c r="B82" s="6179" t="s">
        <v>16</v>
      </c>
      <c r="C82" s="6179" t="s">
        <v>2545</v>
      </c>
      <c r="D82" s="6179" t="s">
        <v>2546</v>
      </c>
      <c r="E82" s="6179" t="s">
        <v>2547</v>
      </c>
      <c r="F82" s="6179" t="s">
        <v>2548</v>
      </c>
      <c r="G82" s="6179" t="s">
        <v>2549</v>
      </c>
      <c r="H82" s="6179" t="s">
        <v>28</v>
      </c>
      <c r="I82" s="6179" t="s">
        <v>816</v>
      </c>
    </row>
    <row customHeight="1" ht="11.25">
      <c r="A83" s="6179" t="s">
        <v>2262</v>
      </c>
      <c r="B83" s="6179" t="s">
        <v>16</v>
      </c>
      <c r="C83" s="6179" t="s">
        <v>2550</v>
      </c>
      <c r="D83" s="6179" t="s">
        <v>2551</v>
      </c>
      <c r="E83" s="6179" t="s">
        <v>2552</v>
      </c>
      <c r="F83" s="6179" t="s">
        <v>2294</v>
      </c>
      <c r="G83" s="6179" t="s">
        <v>2553</v>
      </c>
      <c r="H83" s="6179" t="s">
        <v>28</v>
      </c>
      <c r="I83" s="6179" t="s">
        <v>816</v>
      </c>
    </row>
    <row customHeight="1" ht="11.25">
      <c r="A84" s="6179" t="s">
        <v>2262</v>
      </c>
      <c r="B84" s="6179" t="s">
        <v>16</v>
      </c>
      <c r="C84" s="6179" t="s">
        <v>2554</v>
      </c>
      <c r="D84" s="6179" t="s">
        <v>2555</v>
      </c>
      <c r="E84" s="6179" t="s">
        <v>2556</v>
      </c>
      <c r="F84" s="6179" t="s">
        <v>2535</v>
      </c>
      <c r="G84" s="6179" t="s">
        <v>28</v>
      </c>
      <c r="H84" s="6179" t="s">
        <v>28</v>
      </c>
      <c r="I84" s="6179" t="s">
        <v>816</v>
      </c>
    </row>
    <row customHeight="1" ht="11.25">
      <c r="A85" s="6179" t="s">
        <v>2262</v>
      </c>
      <c r="B85" s="6179" t="s">
        <v>16</v>
      </c>
      <c r="C85" s="6179" t="s">
        <v>2557</v>
      </c>
      <c r="D85" s="6179" t="s">
        <v>2558</v>
      </c>
      <c r="E85" s="6179" t="s">
        <v>2559</v>
      </c>
      <c r="F85" s="6179" t="s">
        <v>2463</v>
      </c>
      <c r="G85" s="6179" t="s">
        <v>2560</v>
      </c>
      <c r="H85" s="6179" t="s">
        <v>28</v>
      </c>
      <c r="I85" s="6179" t="s">
        <v>816</v>
      </c>
    </row>
    <row customHeight="1" ht="11.25">
      <c r="A86" s="6179" t="s">
        <v>2262</v>
      </c>
      <c r="B86" s="6179" t="s">
        <v>16</v>
      </c>
      <c r="C86" s="6179" t="s">
        <v>2561</v>
      </c>
      <c r="D86" s="6179" t="s">
        <v>2562</v>
      </c>
      <c r="E86" s="6179" t="s">
        <v>2563</v>
      </c>
      <c r="F86" s="6179" t="s">
        <v>2322</v>
      </c>
      <c r="G86" s="6179" t="s">
        <v>28</v>
      </c>
      <c r="H86" s="6179" t="s">
        <v>28</v>
      </c>
      <c r="I86" s="6179" t="s">
        <v>816</v>
      </c>
    </row>
    <row customHeight="1" ht="11.25">
      <c r="A87" s="6179" t="s">
        <v>2262</v>
      </c>
      <c r="B87" s="6179" t="s">
        <v>16</v>
      </c>
      <c r="C87" s="6179" t="s">
        <v>2564</v>
      </c>
      <c r="D87" s="6179" t="s">
        <v>2565</v>
      </c>
      <c r="E87" s="6179" t="s">
        <v>2566</v>
      </c>
      <c r="F87" s="6179" t="s">
        <v>52</v>
      </c>
      <c r="G87" s="6179" t="s">
        <v>28</v>
      </c>
      <c r="H87" s="6179" t="s">
        <v>28</v>
      </c>
      <c r="I87" s="6179" t="s">
        <v>816</v>
      </c>
    </row>
    <row customHeight="1" ht="11.25">
      <c r="A88" s="6179" t="s">
        <v>2262</v>
      </c>
      <c r="B88" s="6179" t="s">
        <v>16</v>
      </c>
      <c r="C88" s="6179" t="s">
        <v>2567</v>
      </c>
      <c r="D88" s="6179" t="s">
        <v>2568</v>
      </c>
      <c r="E88" s="6179" t="s">
        <v>2569</v>
      </c>
      <c r="F88" s="6179" t="s">
        <v>2442</v>
      </c>
      <c r="G88" s="6179" t="s">
        <v>28</v>
      </c>
      <c r="H88" s="6179" t="s">
        <v>28</v>
      </c>
      <c r="I88" s="6179" t="s">
        <v>816</v>
      </c>
    </row>
    <row customHeight="1" ht="11.25">
      <c r="A89" s="6179" t="s">
        <v>2262</v>
      </c>
      <c r="B89" s="6179" t="s">
        <v>16</v>
      </c>
      <c r="C89" s="6179" t="s">
        <v>2570</v>
      </c>
      <c r="D89" s="6179" t="s">
        <v>2571</v>
      </c>
      <c r="E89" s="6179" t="s">
        <v>2572</v>
      </c>
      <c r="F89" s="6179" t="s">
        <v>2269</v>
      </c>
      <c r="G89" s="6179" t="s">
        <v>28</v>
      </c>
      <c r="H89" s="6179" t="s">
        <v>28</v>
      </c>
      <c r="I89" s="6179" t="s">
        <v>816</v>
      </c>
    </row>
    <row customHeight="1" ht="11.25">
      <c r="A90" s="6179" t="s">
        <v>2262</v>
      </c>
      <c r="B90" s="6179" t="s">
        <v>16</v>
      </c>
      <c r="C90" s="6179" t="s">
        <v>2573</v>
      </c>
      <c r="D90" s="6179" t="s">
        <v>2574</v>
      </c>
      <c r="E90" s="6179" t="s">
        <v>2575</v>
      </c>
      <c r="F90" s="6179" t="s">
        <v>2269</v>
      </c>
      <c r="G90" s="6179" t="s">
        <v>28</v>
      </c>
      <c r="H90" s="6179" t="s">
        <v>28</v>
      </c>
      <c r="I90" s="6179" t="s">
        <v>816</v>
      </c>
    </row>
    <row customHeight="1" ht="11.25">
      <c r="A91" s="6179" t="s">
        <v>2262</v>
      </c>
      <c r="B91" s="6179" t="s">
        <v>16</v>
      </c>
      <c r="C91" s="6179" t="s">
        <v>2576</v>
      </c>
      <c r="D91" s="6179" t="s">
        <v>2577</v>
      </c>
      <c r="E91" s="6179" t="s">
        <v>2578</v>
      </c>
      <c r="F91" s="6179" t="s">
        <v>2442</v>
      </c>
      <c r="G91" s="6179" t="s">
        <v>2323</v>
      </c>
      <c r="H91" s="6179" t="s">
        <v>28</v>
      </c>
      <c r="I91" s="6179" t="s">
        <v>816</v>
      </c>
    </row>
    <row customHeight="1" ht="11.25">
      <c r="A92" s="6179" t="s">
        <v>2262</v>
      </c>
      <c r="B92" s="6179" t="s">
        <v>16</v>
      </c>
      <c r="C92" s="6179" t="s">
        <v>2579</v>
      </c>
      <c r="D92" s="6179" t="s">
        <v>2580</v>
      </c>
      <c r="E92" s="6179" t="s">
        <v>2581</v>
      </c>
      <c r="F92" s="6179" t="s">
        <v>2582</v>
      </c>
      <c r="G92" s="6179" t="s">
        <v>28</v>
      </c>
      <c r="H92" s="6179" t="s">
        <v>28</v>
      </c>
      <c r="I92" s="6179" t="s">
        <v>816</v>
      </c>
    </row>
    <row customHeight="1" ht="11.25">
      <c r="A93" s="6179" t="s">
        <v>2262</v>
      </c>
      <c r="B93" s="6179" t="s">
        <v>16</v>
      </c>
      <c r="C93" s="6179" t="s">
        <v>2583</v>
      </c>
      <c r="D93" s="6179" t="s">
        <v>2584</v>
      </c>
      <c r="E93" s="6179" t="s">
        <v>2585</v>
      </c>
      <c r="F93" s="6179" t="s">
        <v>2330</v>
      </c>
      <c r="G93" s="6179" t="s">
        <v>28</v>
      </c>
      <c r="H93" s="6179" t="s">
        <v>28</v>
      </c>
      <c r="I93" s="6179" t="s">
        <v>816</v>
      </c>
    </row>
    <row customHeight="1" ht="11.25">
      <c r="A94" s="6179" t="s">
        <v>2262</v>
      </c>
      <c r="B94" s="6179" t="s">
        <v>16</v>
      </c>
      <c r="C94" s="6179" t="s">
        <v>2586</v>
      </c>
      <c r="D94" s="6179" t="s">
        <v>2587</v>
      </c>
      <c r="E94" s="6179" t="s">
        <v>2588</v>
      </c>
      <c r="F94" s="6179" t="s">
        <v>2589</v>
      </c>
      <c r="G94" s="6179" t="s">
        <v>28</v>
      </c>
      <c r="H94" s="6179" t="s">
        <v>28</v>
      </c>
      <c r="I94" s="6179" t="s">
        <v>816</v>
      </c>
    </row>
    <row customHeight="1" ht="11.25">
      <c r="A95" s="6179" t="s">
        <v>2262</v>
      </c>
      <c r="B95" s="6179" t="s">
        <v>16</v>
      </c>
      <c r="C95" s="6179" t="s">
        <v>2590</v>
      </c>
      <c r="D95" s="6179" t="s">
        <v>2591</v>
      </c>
      <c r="E95" s="6179" t="s">
        <v>2592</v>
      </c>
      <c r="F95" s="6179" t="s">
        <v>2313</v>
      </c>
      <c r="G95" s="6179" t="s">
        <v>28</v>
      </c>
      <c r="H95" s="6179" t="s">
        <v>28</v>
      </c>
      <c r="I95" s="6179" t="s">
        <v>816</v>
      </c>
    </row>
    <row customHeight="1" ht="11.25">
      <c r="A96" s="6179" t="s">
        <v>2262</v>
      </c>
      <c r="B96" s="6179" t="s">
        <v>16</v>
      </c>
      <c r="C96" s="6179" t="s">
        <v>2593</v>
      </c>
      <c r="D96" s="6179" t="s">
        <v>2594</v>
      </c>
      <c r="E96" s="6179" t="s">
        <v>2595</v>
      </c>
      <c r="F96" s="6179" t="s">
        <v>2269</v>
      </c>
      <c r="G96" s="6179" t="s">
        <v>28</v>
      </c>
      <c r="H96" s="6179" t="s">
        <v>28</v>
      </c>
      <c r="I96" s="6179" t="s">
        <v>816</v>
      </c>
    </row>
    <row customHeight="1" ht="11.25">
      <c r="A97" s="6179" t="s">
        <v>2262</v>
      </c>
      <c r="B97" s="6179" t="s">
        <v>16</v>
      </c>
      <c r="C97" s="6179" t="s">
        <v>2596</v>
      </c>
      <c r="D97" s="6179" t="s">
        <v>2597</v>
      </c>
      <c r="E97" s="6179" t="s">
        <v>2598</v>
      </c>
      <c r="F97" s="6179" t="s">
        <v>2330</v>
      </c>
      <c r="G97" s="6179" t="s">
        <v>2599</v>
      </c>
      <c r="H97" s="6179" t="s">
        <v>28</v>
      </c>
      <c r="I97" s="6179" t="s">
        <v>816</v>
      </c>
    </row>
    <row customHeight="1" ht="11.25">
      <c r="A98" s="6179" t="s">
        <v>2262</v>
      </c>
      <c r="B98" s="6179" t="s">
        <v>16</v>
      </c>
      <c r="C98" s="6179" t="s">
        <v>2600</v>
      </c>
      <c r="D98" s="6179" t="s">
        <v>2601</v>
      </c>
      <c r="E98" s="6179" t="s">
        <v>2602</v>
      </c>
      <c r="F98" s="6179" t="s">
        <v>2603</v>
      </c>
      <c r="G98" s="6179" t="s">
        <v>28</v>
      </c>
      <c r="H98" s="6179" t="s">
        <v>28</v>
      </c>
      <c r="I98" s="6179" t="s">
        <v>816</v>
      </c>
    </row>
    <row customHeight="1" ht="11.25">
      <c r="A99" s="6179" t="s">
        <v>2262</v>
      </c>
      <c r="B99" s="6179" t="s">
        <v>16</v>
      </c>
      <c r="C99" s="6179" t="s">
        <v>2604</v>
      </c>
      <c r="D99" s="6179" t="s">
        <v>2605</v>
      </c>
      <c r="E99" s="6179" t="s">
        <v>2606</v>
      </c>
      <c r="F99" s="6179" t="s">
        <v>2265</v>
      </c>
      <c r="G99" s="6179" t="s">
        <v>28</v>
      </c>
      <c r="H99" s="6179" t="s">
        <v>28</v>
      </c>
      <c r="I99" s="6179" t="s">
        <v>816</v>
      </c>
    </row>
    <row customHeight="1" ht="11.25">
      <c r="A100" s="6179" t="s">
        <v>2262</v>
      </c>
      <c r="B100" s="6179" t="s">
        <v>16</v>
      </c>
      <c r="C100" s="6179" t="s">
        <v>2607</v>
      </c>
      <c r="D100" s="6179" t="s">
        <v>2608</v>
      </c>
      <c r="E100" s="6179" t="s">
        <v>2609</v>
      </c>
      <c r="F100" s="6179" t="s">
        <v>2277</v>
      </c>
      <c r="G100" s="6179" t="s">
        <v>28</v>
      </c>
      <c r="H100" s="6179" t="s">
        <v>28</v>
      </c>
      <c r="I100" s="6179" t="s">
        <v>816</v>
      </c>
    </row>
    <row customHeight="1" ht="11.25">
      <c r="A101" s="6179" t="s">
        <v>2262</v>
      </c>
      <c r="B101" s="6179" t="s">
        <v>16</v>
      </c>
      <c r="C101" s="6179" t="s">
        <v>2610</v>
      </c>
      <c r="D101" s="6179" t="s">
        <v>2611</v>
      </c>
      <c r="E101" s="6179" t="s">
        <v>2612</v>
      </c>
      <c r="F101" s="6179" t="s">
        <v>2269</v>
      </c>
      <c r="G101" s="6179" t="s">
        <v>28</v>
      </c>
      <c r="H101" s="6179" t="s">
        <v>28</v>
      </c>
      <c r="I101" s="6179" t="s">
        <v>816</v>
      </c>
    </row>
    <row customHeight="1" ht="11.25">
      <c r="A102" s="6179" t="s">
        <v>2262</v>
      </c>
      <c r="B102" s="6179" t="s">
        <v>16</v>
      </c>
      <c r="C102" s="6179" t="s">
        <v>2613</v>
      </c>
      <c r="D102" s="6179" t="s">
        <v>2614</v>
      </c>
      <c r="E102" s="6179" t="s">
        <v>2615</v>
      </c>
      <c r="F102" s="6179" t="s">
        <v>2616</v>
      </c>
      <c r="G102" s="6179" t="s">
        <v>2617</v>
      </c>
      <c r="H102" s="6179" t="s">
        <v>28</v>
      </c>
      <c r="I102" s="6179" t="s">
        <v>816</v>
      </c>
    </row>
    <row customHeight="1" ht="11.25">
      <c r="A103" s="6179" t="s">
        <v>2262</v>
      </c>
      <c r="B103" s="6179" t="s">
        <v>16</v>
      </c>
      <c r="C103" s="6179" t="s">
        <v>2618</v>
      </c>
      <c r="D103" s="6179" t="s">
        <v>2619</v>
      </c>
      <c r="E103" s="6179" t="s">
        <v>2620</v>
      </c>
      <c r="F103" s="6179" t="s">
        <v>2589</v>
      </c>
      <c r="G103" s="6179" t="s">
        <v>2621</v>
      </c>
      <c r="H103" s="6179" t="s">
        <v>28</v>
      </c>
      <c r="I103" s="6179" t="s">
        <v>816</v>
      </c>
    </row>
    <row customHeight="1" ht="11.25">
      <c r="A104" s="6179" t="s">
        <v>2262</v>
      </c>
      <c r="B104" s="6179" t="s">
        <v>16</v>
      </c>
      <c r="C104" s="6179" t="s">
        <v>2622</v>
      </c>
      <c r="D104" s="6179" t="s">
        <v>2623</v>
      </c>
      <c r="E104" s="6179" t="s">
        <v>2624</v>
      </c>
      <c r="F104" s="6179" t="s">
        <v>2313</v>
      </c>
      <c r="G104" s="6179" t="s">
        <v>2625</v>
      </c>
      <c r="H104" s="6179" t="s">
        <v>28</v>
      </c>
      <c r="I104" s="6179" t="s">
        <v>816</v>
      </c>
    </row>
    <row customHeight="1" ht="11.25">
      <c r="A105" s="6179" t="s">
        <v>2262</v>
      </c>
      <c r="B105" s="6179" t="s">
        <v>16</v>
      </c>
      <c r="C105" s="6179" t="s">
        <v>2626</v>
      </c>
      <c r="D105" s="6179" t="s">
        <v>2627</v>
      </c>
      <c r="E105" s="6179" t="s">
        <v>2628</v>
      </c>
      <c r="F105" s="6179" t="s">
        <v>2629</v>
      </c>
      <c r="G105" s="6179" t="s">
        <v>28</v>
      </c>
      <c r="H105" s="6179" t="s">
        <v>28</v>
      </c>
      <c r="I105" s="6179" t="s">
        <v>816</v>
      </c>
    </row>
    <row customHeight="1" ht="11.25">
      <c r="A106" s="6179" t="s">
        <v>2262</v>
      </c>
      <c r="B106" s="6179" t="s">
        <v>16</v>
      </c>
      <c r="C106" s="6179" t="s">
        <v>2630</v>
      </c>
      <c r="D106" s="6179" t="s">
        <v>2631</v>
      </c>
      <c r="E106" s="6179" t="s">
        <v>2632</v>
      </c>
      <c r="F106" s="6179" t="s">
        <v>2265</v>
      </c>
      <c r="G106" s="6179" t="s">
        <v>28</v>
      </c>
      <c r="H106" s="6179" t="s">
        <v>28</v>
      </c>
      <c r="I106" s="6179" t="s">
        <v>816</v>
      </c>
    </row>
    <row customHeight="1" ht="11.25">
      <c r="A107" s="6179" t="s">
        <v>2262</v>
      </c>
      <c r="B107" s="6179" t="s">
        <v>16</v>
      </c>
      <c r="C107" s="6179" t="s">
        <v>2633</v>
      </c>
      <c r="D107" s="6179" t="s">
        <v>2634</v>
      </c>
      <c r="E107" s="6179" t="s">
        <v>2359</v>
      </c>
      <c r="F107" s="6179" t="s">
        <v>2635</v>
      </c>
      <c r="G107" s="6179" t="s">
        <v>28</v>
      </c>
      <c r="H107" s="6179" t="s">
        <v>28</v>
      </c>
      <c r="I107" s="6179" t="s">
        <v>816</v>
      </c>
    </row>
    <row customHeight="1" ht="11.25">
      <c r="A108" s="6179" t="s">
        <v>2262</v>
      </c>
      <c r="B108" s="6179" t="s">
        <v>16</v>
      </c>
      <c r="C108" s="6179" t="s">
        <v>2636</v>
      </c>
      <c r="D108" s="6179" t="s">
        <v>2637</v>
      </c>
      <c r="E108" s="6179" t="s">
        <v>2638</v>
      </c>
      <c r="F108" s="6179" t="s">
        <v>2463</v>
      </c>
      <c r="G108" s="6179" t="s">
        <v>28</v>
      </c>
      <c r="H108" s="6179" t="s">
        <v>28</v>
      </c>
      <c r="I108" s="6179" t="s">
        <v>816</v>
      </c>
    </row>
    <row customHeight="1" ht="11.25">
      <c r="A109" s="6179" t="s">
        <v>2262</v>
      </c>
      <c r="B109" s="6179" t="s">
        <v>16</v>
      </c>
      <c r="C109" s="6179" t="s">
        <v>2639</v>
      </c>
      <c r="D109" s="6179" t="s">
        <v>2640</v>
      </c>
      <c r="E109" s="6179" t="s">
        <v>2641</v>
      </c>
      <c r="F109" s="6179" t="s">
        <v>2642</v>
      </c>
      <c r="G109" s="6179" t="s">
        <v>2643</v>
      </c>
      <c r="H109" s="6179" t="s">
        <v>28</v>
      </c>
      <c r="I109" s="6179" t="s">
        <v>816</v>
      </c>
    </row>
    <row customHeight="1" ht="11.25">
      <c r="A110" s="6179" t="s">
        <v>2262</v>
      </c>
      <c r="B110" s="6179" t="s">
        <v>16</v>
      </c>
      <c r="C110" s="6179" t="s">
        <v>2644</v>
      </c>
      <c r="D110" s="6179" t="s">
        <v>2645</v>
      </c>
      <c r="E110" s="6179" t="s">
        <v>2646</v>
      </c>
      <c r="F110" s="6179" t="s">
        <v>2463</v>
      </c>
      <c r="G110" s="6179" t="s">
        <v>28</v>
      </c>
      <c r="H110" s="6179" t="s">
        <v>28</v>
      </c>
      <c r="I110" s="6179" t="s">
        <v>816</v>
      </c>
    </row>
    <row customHeight="1" ht="11.25">
      <c r="A111" s="6179" t="s">
        <v>2262</v>
      </c>
      <c r="B111" s="6179" t="s">
        <v>16</v>
      </c>
      <c r="C111" s="6179" t="s">
        <v>2647</v>
      </c>
      <c r="D111" s="6179" t="s">
        <v>2648</v>
      </c>
      <c r="E111" s="6179" t="s">
        <v>2649</v>
      </c>
      <c r="F111" s="6179" t="s">
        <v>2406</v>
      </c>
      <c r="G111" s="6179" t="s">
        <v>28</v>
      </c>
      <c r="H111" s="6179" t="s">
        <v>28</v>
      </c>
      <c r="I111" s="6179" t="s">
        <v>816</v>
      </c>
    </row>
    <row customHeight="1" ht="11.25">
      <c r="A112" s="6179" t="s">
        <v>2262</v>
      </c>
      <c r="B112" s="6179" t="s">
        <v>16</v>
      </c>
      <c r="C112" s="6179" t="s">
        <v>2650</v>
      </c>
      <c r="D112" s="6179" t="s">
        <v>2651</v>
      </c>
      <c r="E112" s="6179" t="s">
        <v>2652</v>
      </c>
      <c r="F112" s="6179" t="s">
        <v>2396</v>
      </c>
      <c r="G112" s="6179" t="s">
        <v>28</v>
      </c>
      <c r="H112" s="6179" t="s">
        <v>28</v>
      </c>
      <c r="I112" s="6179" t="s">
        <v>816</v>
      </c>
    </row>
    <row customHeight="1" ht="11.25">
      <c r="A113" s="6179" t="s">
        <v>2262</v>
      </c>
      <c r="B113" s="6179" t="s">
        <v>16</v>
      </c>
      <c r="C113" s="6179" t="s">
        <v>2653</v>
      </c>
      <c r="D113" s="6179" t="s">
        <v>2654</v>
      </c>
      <c r="E113" s="6179" t="s">
        <v>2655</v>
      </c>
      <c r="F113" s="6179" t="s">
        <v>2273</v>
      </c>
      <c r="G113" s="6179" t="s">
        <v>28</v>
      </c>
      <c r="H113" s="6179" t="s">
        <v>28</v>
      </c>
      <c r="I113" s="6179" t="s">
        <v>816</v>
      </c>
    </row>
    <row customHeight="1" ht="11.25">
      <c r="A114" s="6179" t="s">
        <v>2262</v>
      </c>
      <c r="B114" s="6179" t="s">
        <v>16</v>
      </c>
      <c r="C114" s="6179" t="s">
        <v>2656</v>
      </c>
      <c r="D114" s="6179" t="s">
        <v>2657</v>
      </c>
      <c r="E114" s="6179" t="s">
        <v>2658</v>
      </c>
      <c r="F114" s="6179" t="s">
        <v>2659</v>
      </c>
      <c r="G114" s="6179" t="s">
        <v>28</v>
      </c>
      <c r="H114" s="6179" t="s">
        <v>28</v>
      </c>
      <c r="I114" s="6179" t="s">
        <v>816</v>
      </c>
    </row>
    <row customHeight="1" ht="11.25">
      <c r="A115" s="6179" t="s">
        <v>2262</v>
      </c>
      <c r="B115" s="6179" t="s">
        <v>16</v>
      </c>
      <c r="C115" s="6179" t="s">
        <v>2660</v>
      </c>
      <c r="D115" s="6179" t="s">
        <v>2661</v>
      </c>
      <c r="E115" s="6179" t="s">
        <v>2662</v>
      </c>
      <c r="F115" s="6179" t="s">
        <v>2322</v>
      </c>
      <c r="G115" s="6179" t="s">
        <v>28</v>
      </c>
      <c r="H115" s="6179" t="s">
        <v>28</v>
      </c>
      <c r="I115" s="6179" t="s">
        <v>816</v>
      </c>
    </row>
    <row customHeight="1" ht="11.25">
      <c r="A116" s="6179" t="s">
        <v>2262</v>
      </c>
      <c r="B116" s="6179" t="s">
        <v>16</v>
      </c>
      <c r="C116" s="6179" t="s">
        <v>2663</v>
      </c>
      <c r="D116" s="6179" t="s">
        <v>2664</v>
      </c>
      <c r="E116" s="6179" t="s">
        <v>2665</v>
      </c>
      <c r="F116" s="6179" t="s">
        <v>52</v>
      </c>
      <c r="G116" s="6179" t="s">
        <v>28</v>
      </c>
      <c r="H116" s="6179" t="s">
        <v>28</v>
      </c>
      <c r="I116" s="6179" t="s">
        <v>816</v>
      </c>
    </row>
    <row customHeight="1" ht="11.25">
      <c r="A117" s="6179" t="s">
        <v>2262</v>
      </c>
      <c r="B117" s="6179" t="s">
        <v>16</v>
      </c>
      <c r="C117" s="6179" t="s">
        <v>2666</v>
      </c>
      <c r="D117" s="6179" t="s">
        <v>2667</v>
      </c>
      <c r="E117" s="6179" t="s">
        <v>2668</v>
      </c>
      <c r="F117" s="6179" t="s">
        <v>2406</v>
      </c>
      <c r="G117" s="6179" t="s">
        <v>28</v>
      </c>
      <c r="H117" s="6179" t="s">
        <v>28</v>
      </c>
      <c r="I117" s="6179" t="s">
        <v>816</v>
      </c>
    </row>
    <row customHeight="1" ht="11.25">
      <c r="A118" s="6179" t="s">
        <v>2262</v>
      </c>
      <c r="B118" s="6179" t="s">
        <v>16</v>
      </c>
      <c r="C118" s="6179" t="s">
        <v>2669</v>
      </c>
      <c r="D118" s="6179" t="s">
        <v>2670</v>
      </c>
      <c r="E118" s="6179" t="s">
        <v>2671</v>
      </c>
      <c r="F118" s="6179" t="s">
        <v>52</v>
      </c>
      <c r="G118" s="6179" t="s">
        <v>28</v>
      </c>
      <c r="H118" s="6179" t="s">
        <v>28</v>
      </c>
      <c r="I118" s="6179" t="s">
        <v>816</v>
      </c>
    </row>
    <row customHeight="1" ht="11.25">
      <c r="A119" s="6179" t="s">
        <v>2262</v>
      </c>
      <c r="B119" s="6179" t="s">
        <v>16</v>
      </c>
      <c r="C119" s="6179" t="s">
        <v>2672</v>
      </c>
      <c r="D119" s="6179" t="s">
        <v>2673</v>
      </c>
      <c r="E119" s="6179" t="s">
        <v>2674</v>
      </c>
      <c r="F119" s="6179" t="s">
        <v>52</v>
      </c>
      <c r="G119" s="6179" t="s">
        <v>28</v>
      </c>
      <c r="H119" s="6179" t="s">
        <v>28</v>
      </c>
      <c r="I119" s="6179" t="s">
        <v>816</v>
      </c>
    </row>
    <row customHeight="1" ht="11.25">
      <c r="A120" s="6179" t="s">
        <v>2262</v>
      </c>
      <c r="B120" s="6179" t="s">
        <v>16</v>
      </c>
      <c r="C120" s="6179" t="s">
        <v>2675</v>
      </c>
      <c r="D120" s="6179" t="s">
        <v>2676</v>
      </c>
      <c r="E120" s="6179" t="s">
        <v>2677</v>
      </c>
      <c r="F120" s="6179" t="s">
        <v>2463</v>
      </c>
      <c r="G120" s="6179" t="s">
        <v>28</v>
      </c>
      <c r="H120" s="6179" t="s">
        <v>28</v>
      </c>
      <c r="I120" s="6179" t="s">
        <v>816</v>
      </c>
    </row>
    <row customHeight="1" ht="11.25">
      <c r="A121" s="6179" t="s">
        <v>2262</v>
      </c>
      <c r="B121" s="6179" t="s">
        <v>16</v>
      </c>
      <c r="C121" s="6179" t="s">
        <v>2678</v>
      </c>
      <c r="D121" s="6179" t="s">
        <v>2679</v>
      </c>
      <c r="E121" s="6179" t="s">
        <v>2680</v>
      </c>
      <c r="F121" s="6179" t="s">
        <v>2681</v>
      </c>
      <c r="G121" s="6179" t="s">
        <v>28</v>
      </c>
      <c r="H121" s="6179" t="s">
        <v>28</v>
      </c>
      <c r="I121" s="6179" t="s">
        <v>816</v>
      </c>
    </row>
    <row customHeight="1" ht="11.25">
      <c r="A122" s="6179" t="s">
        <v>2262</v>
      </c>
      <c r="B122" s="6179" t="s">
        <v>16</v>
      </c>
      <c r="C122" s="6179" t="s">
        <v>2682</v>
      </c>
      <c r="D122" s="6179" t="s">
        <v>2683</v>
      </c>
      <c r="E122" s="6179" t="s">
        <v>2684</v>
      </c>
      <c r="F122" s="6179" t="s">
        <v>2685</v>
      </c>
      <c r="G122" s="6179" t="s">
        <v>28</v>
      </c>
      <c r="H122" s="6179" t="s">
        <v>28</v>
      </c>
      <c r="I122" s="6179" t="s">
        <v>816</v>
      </c>
    </row>
    <row customHeight="1" ht="11.25">
      <c r="A123" s="6179" t="s">
        <v>2262</v>
      </c>
      <c r="B123" s="6179" t="s">
        <v>16</v>
      </c>
      <c r="C123" s="6179" t="s">
        <v>2686</v>
      </c>
      <c r="D123" s="6179" t="s">
        <v>2687</v>
      </c>
      <c r="E123" s="6179" t="s">
        <v>2688</v>
      </c>
      <c r="F123" s="6179" t="s">
        <v>2294</v>
      </c>
      <c r="G123" s="6179" t="s">
        <v>28</v>
      </c>
      <c r="H123" s="6179" t="s">
        <v>28</v>
      </c>
      <c r="I123" s="6179" t="s">
        <v>816</v>
      </c>
    </row>
    <row customHeight="1" ht="11.25">
      <c r="A124" s="6179" t="s">
        <v>2262</v>
      </c>
      <c r="B124" s="6179" t="s">
        <v>16</v>
      </c>
      <c r="C124" s="6179" t="s">
        <v>2689</v>
      </c>
      <c r="D124" s="6179" t="s">
        <v>2690</v>
      </c>
      <c r="E124" s="6179" t="s">
        <v>2691</v>
      </c>
      <c r="F124" s="6179" t="s">
        <v>2298</v>
      </c>
      <c r="G124" s="6179" t="s">
        <v>28</v>
      </c>
      <c r="H124" s="6179" t="s">
        <v>28</v>
      </c>
      <c r="I124" s="6179" t="s">
        <v>816</v>
      </c>
    </row>
    <row customHeight="1" ht="11.25">
      <c r="A125" s="6179" t="s">
        <v>2262</v>
      </c>
      <c r="B125" s="6179" t="s">
        <v>16</v>
      </c>
      <c r="C125" s="6179" t="s">
        <v>28</v>
      </c>
      <c r="D125" s="6179" t="s">
        <v>2263</v>
      </c>
      <c r="E125" s="6179" t="s">
        <v>2264</v>
      </c>
      <c r="F125" s="6179" t="s">
        <v>2265</v>
      </c>
      <c r="G125" s="6179" t="s">
        <v>28</v>
      </c>
      <c r="H125" s="6179" t="s">
        <v>28</v>
      </c>
      <c r="I125" s="6179" t="s">
        <v>902</v>
      </c>
    </row>
    <row customHeight="1" ht="11.25">
      <c r="A126" s="6179" t="s">
        <v>2262</v>
      </c>
      <c r="B126" s="6179" t="s">
        <v>16</v>
      </c>
      <c r="C126" s="6179" t="s">
        <v>2274</v>
      </c>
      <c r="D126" s="6179" t="s">
        <v>2275</v>
      </c>
      <c r="E126" s="6179" t="s">
        <v>2276</v>
      </c>
      <c r="F126" s="6179" t="s">
        <v>2277</v>
      </c>
      <c r="G126" s="6179" t="s">
        <v>28</v>
      </c>
      <c r="H126" s="6179" t="s">
        <v>28</v>
      </c>
      <c r="I126" s="6179" t="s">
        <v>902</v>
      </c>
    </row>
    <row customHeight="1" ht="11.25">
      <c r="A127" s="6179" t="s">
        <v>2262</v>
      </c>
      <c r="B127" s="6179" t="s">
        <v>16</v>
      </c>
      <c r="C127" s="6179" t="s">
        <v>2278</v>
      </c>
      <c r="D127" s="6179" t="s">
        <v>2279</v>
      </c>
      <c r="E127" s="6179" t="s">
        <v>2280</v>
      </c>
      <c r="F127" s="6179" t="s">
        <v>2281</v>
      </c>
      <c r="G127" s="6179" t="s">
        <v>28</v>
      </c>
      <c r="H127" s="6179" t="s">
        <v>28</v>
      </c>
      <c r="I127" s="6179" t="s">
        <v>902</v>
      </c>
    </row>
    <row customHeight="1" ht="11.25">
      <c r="A128" s="6179" t="s">
        <v>2262</v>
      </c>
      <c r="B128" s="6179" t="s">
        <v>16</v>
      </c>
      <c r="C128" s="6179" t="s">
        <v>2285</v>
      </c>
      <c r="D128" s="6179" t="s">
        <v>2286</v>
      </c>
      <c r="E128" s="6179" t="s">
        <v>2280</v>
      </c>
      <c r="F128" s="6179" t="s">
        <v>2287</v>
      </c>
      <c r="G128" s="6179" t="s">
        <v>28</v>
      </c>
      <c r="H128" s="6179" t="s">
        <v>28</v>
      </c>
      <c r="I128" s="6179" t="s">
        <v>902</v>
      </c>
    </row>
    <row customHeight="1" ht="11.25">
      <c r="A129" s="6179" t="s">
        <v>2262</v>
      </c>
      <c r="B129" s="6179" t="s">
        <v>16</v>
      </c>
      <c r="C129" s="6179" t="s">
        <v>2288</v>
      </c>
      <c r="D129" s="6179" t="s">
        <v>2289</v>
      </c>
      <c r="E129" s="6179" t="s">
        <v>2280</v>
      </c>
      <c r="F129" s="6179" t="s">
        <v>2290</v>
      </c>
      <c r="G129" s="6179" t="s">
        <v>28</v>
      </c>
      <c r="H129" s="6179" t="s">
        <v>28</v>
      </c>
      <c r="I129" s="6179" t="s">
        <v>902</v>
      </c>
    </row>
    <row customHeight="1" ht="11.25">
      <c r="A130" s="6179" t="s">
        <v>2262</v>
      </c>
      <c r="B130" s="6179" t="s">
        <v>16</v>
      </c>
      <c r="C130" s="6179" t="s">
        <v>2295</v>
      </c>
      <c r="D130" s="6179" t="s">
        <v>2296</v>
      </c>
      <c r="E130" s="6179" t="s">
        <v>2297</v>
      </c>
      <c r="F130" s="6179" t="s">
        <v>2298</v>
      </c>
      <c r="G130" s="6179" t="s">
        <v>28</v>
      </c>
      <c r="H130" s="6179" t="s">
        <v>28</v>
      </c>
      <c r="I130" s="6179" t="s">
        <v>902</v>
      </c>
    </row>
    <row customHeight="1" ht="11.25">
      <c r="A131" s="6179" t="s">
        <v>2262</v>
      </c>
      <c r="B131" s="6179" t="s">
        <v>16</v>
      </c>
      <c r="C131" s="6179" t="s">
        <v>2302</v>
      </c>
      <c r="D131" s="6179" t="s">
        <v>2303</v>
      </c>
      <c r="E131" s="6179" t="s">
        <v>2304</v>
      </c>
      <c r="F131" s="6179" t="s">
        <v>2305</v>
      </c>
      <c r="G131" s="6179" t="s">
        <v>2306</v>
      </c>
      <c r="H131" s="6179" t="s">
        <v>28</v>
      </c>
      <c r="I131" s="6179" t="s">
        <v>902</v>
      </c>
    </row>
    <row customHeight="1" ht="11.25">
      <c r="A132" s="6179" t="s">
        <v>2262</v>
      </c>
      <c r="B132" s="6179" t="s">
        <v>16</v>
      </c>
      <c r="C132" s="6179" t="s">
        <v>2319</v>
      </c>
      <c r="D132" s="6179" t="s">
        <v>2320</v>
      </c>
      <c r="E132" s="6179" t="s">
        <v>2321</v>
      </c>
      <c r="F132" s="6179" t="s">
        <v>2322</v>
      </c>
      <c r="G132" s="6179" t="s">
        <v>2323</v>
      </c>
      <c r="H132" s="6179" t="s">
        <v>28</v>
      </c>
      <c r="I132" s="6179" t="s">
        <v>902</v>
      </c>
    </row>
    <row customHeight="1" ht="11.25">
      <c r="A133" s="6179" t="s">
        <v>2262</v>
      </c>
      <c r="B133" s="6179" t="s">
        <v>16</v>
      </c>
      <c r="C133" s="6179" t="s">
        <v>2324</v>
      </c>
      <c r="D133" s="6179" t="s">
        <v>2325</v>
      </c>
      <c r="E133" s="6179" t="s">
        <v>2326</v>
      </c>
      <c r="F133" s="6179" t="s">
        <v>2294</v>
      </c>
      <c r="G133" s="6179" t="s">
        <v>28</v>
      </c>
      <c r="H133" s="6179" t="s">
        <v>28</v>
      </c>
      <c r="I133" s="6179" t="s">
        <v>902</v>
      </c>
    </row>
    <row customHeight="1" ht="11.25">
      <c r="A134" s="6179" t="s">
        <v>2262</v>
      </c>
      <c r="B134" s="6179" t="s">
        <v>16</v>
      </c>
      <c r="C134" s="6179" t="s">
        <v>2331</v>
      </c>
      <c r="D134" s="6179" t="s">
        <v>2332</v>
      </c>
      <c r="E134" s="6179" t="s">
        <v>2333</v>
      </c>
      <c r="F134" s="6179" t="s">
        <v>52</v>
      </c>
      <c r="G134" s="6179" t="s">
        <v>2334</v>
      </c>
      <c r="H134" s="6179" t="s">
        <v>28</v>
      </c>
      <c r="I134" s="6179" t="s">
        <v>902</v>
      </c>
    </row>
    <row customHeight="1" ht="11.25">
      <c r="A135" s="6179" t="s">
        <v>2262</v>
      </c>
      <c r="B135" s="6179" t="s">
        <v>16</v>
      </c>
      <c r="C135" s="6179" t="s">
        <v>2343</v>
      </c>
      <c r="D135" s="6179" t="s">
        <v>2344</v>
      </c>
      <c r="E135" s="6179" t="s">
        <v>2345</v>
      </c>
      <c r="F135" s="6179" t="s">
        <v>2346</v>
      </c>
      <c r="G135" s="6179" t="s">
        <v>28</v>
      </c>
      <c r="H135" s="6179" t="s">
        <v>28</v>
      </c>
      <c r="I135" s="6179" t="s">
        <v>902</v>
      </c>
    </row>
    <row customHeight="1" ht="11.25">
      <c r="A136" s="6179" t="s">
        <v>2262</v>
      </c>
      <c r="B136" s="6179" t="s">
        <v>16</v>
      </c>
      <c r="C136" s="6179" t="s">
        <v>2361</v>
      </c>
      <c r="D136" s="6179" t="s">
        <v>2362</v>
      </c>
      <c r="E136" s="6179" t="s">
        <v>2359</v>
      </c>
      <c r="F136" s="6179" t="s">
        <v>2363</v>
      </c>
      <c r="G136" s="6179" t="s">
        <v>28</v>
      </c>
      <c r="H136" s="6179" t="s">
        <v>28</v>
      </c>
      <c r="I136" s="6179" t="s">
        <v>902</v>
      </c>
    </row>
    <row customHeight="1" ht="11.25">
      <c r="A137" s="6179" t="s">
        <v>2262</v>
      </c>
      <c r="B137" s="6179" t="s">
        <v>16</v>
      </c>
      <c r="C137" s="6179" t="s">
        <v>2692</v>
      </c>
      <c r="D137" s="6179" t="s">
        <v>2408</v>
      </c>
      <c r="E137" s="6179" t="s">
        <v>2409</v>
      </c>
      <c r="F137" s="6179" t="s">
        <v>2693</v>
      </c>
      <c r="G137" s="6179" t="s">
        <v>28</v>
      </c>
      <c r="H137" s="6179" t="s">
        <v>28</v>
      </c>
      <c r="I137" s="6179" t="s">
        <v>902</v>
      </c>
    </row>
    <row customHeight="1" ht="11.25">
      <c r="A138" s="6179" t="s">
        <v>2262</v>
      </c>
      <c r="B138" s="6179" t="s">
        <v>16</v>
      </c>
      <c r="C138" s="6179" t="s">
        <v>2694</v>
      </c>
      <c r="D138" s="6179" t="s">
        <v>2408</v>
      </c>
      <c r="E138" s="6179" t="s">
        <v>2409</v>
      </c>
      <c r="F138" s="6179" t="s">
        <v>2695</v>
      </c>
      <c r="G138" s="6179" t="s">
        <v>28</v>
      </c>
      <c r="H138" s="6179" t="s">
        <v>28</v>
      </c>
      <c r="I138" s="6179" t="s">
        <v>902</v>
      </c>
    </row>
    <row customHeight="1" ht="11.25">
      <c r="A139" s="6179" t="s">
        <v>2262</v>
      </c>
      <c r="B139" s="6179" t="s">
        <v>16</v>
      </c>
      <c r="C139" s="6179" t="s">
        <v>2696</v>
      </c>
      <c r="D139" s="6179" t="s">
        <v>2408</v>
      </c>
      <c r="E139" s="6179" t="s">
        <v>2409</v>
      </c>
      <c r="F139" s="6179" t="s">
        <v>2697</v>
      </c>
      <c r="G139" s="6179" t="s">
        <v>28</v>
      </c>
      <c r="H139" s="6179" t="s">
        <v>28</v>
      </c>
      <c r="I139" s="6179" t="s">
        <v>902</v>
      </c>
    </row>
    <row customHeight="1" ht="11.25">
      <c r="A140" s="6179" t="s">
        <v>2262</v>
      </c>
      <c r="B140" s="6179" t="s">
        <v>16</v>
      </c>
      <c r="C140" s="6179" t="s">
        <v>2698</v>
      </c>
      <c r="D140" s="6179" t="s">
        <v>2408</v>
      </c>
      <c r="E140" s="6179" t="s">
        <v>2409</v>
      </c>
      <c r="F140" s="6179" t="s">
        <v>2699</v>
      </c>
      <c r="G140" s="6179" t="s">
        <v>28</v>
      </c>
      <c r="H140" s="6179" t="s">
        <v>28</v>
      </c>
      <c r="I140" s="6179" t="s">
        <v>902</v>
      </c>
    </row>
    <row customHeight="1" ht="11.25">
      <c r="A141" s="6179" t="s">
        <v>2262</v>
      </c>
      <c r="B141" s="6179" t="s">
        <v>16</v>
      </c>
      <c r="C141" s="6179" t="s">
        <v>2700</v>
      </c>
      <c r="D141" s="6179" t="s">
        <v>2408</v>
      </c>
      <c r="E141" s="6179" t="s">
        <v>2409</v>
      </c>
      <c r="F141" s="6179" t="s">
        <v>2701</v>
      </c>
      <c r="G141" s="6179" t="s">
        <v>28</v>
      </c>
      <c r="H141" s="6179" t="s">
        <v>28</v>
      </c>
      <c r="I141" s="6179" t="s">
        <v>902</v>
      </c>
    </row>
    <row customHeight="1" ht="11.25">
      <c r="A142" s="6179" t="s">
        <v>2262</v>
      </c>
      <c r="B142" s="6179" t="s">
        <v>16</v>
      </c>
      <c r="C142" s="6179" t="s">
        <v>2702</v>
      </c>
      <c r="D142" s="6179" t="s">
        <v>2408</v>
      </c>
      <c r="E142" s="6179" t="s">
        <v>2409</v>
      </c>
      <c r="F142" s="6179" t="s">
        <v>2703</v>
      </c>
      <c r="G142" s="6179" t="s">
        <v>28</v>
      </c>
      <c r="H142" s="6179" t="s">
        <v>28</v>
      </c>
      <c r="I142" s="6179" t="s">
        <v>902</v>
      </c>
    </row>
    <row customHeight="1" ht="11.25">
      <c r="A143" s="6179" t="s">
        <v>2262</v>
      </c>
      <c r="B143" s="6179" t="s">
        <v>16</v>
      </c>
      <c r="C143" s="6179" t="s">
        <v>2704</v>
      </c>
      <c r="D143" s="6179" t="s">
        <v>2408</v>
      </c>
      <c r="E143" s="6179" t="s">
        <v>2409</v>
      </c>
      <c r="F143" s="6179" t="s">
        <v>2705</v>
      </c>
      <c r="G143" s="6179" t="s">
        <v>28</v>
      </c>
      <c r="H143" s="6179" t="s">
        <v>28</v>
      </c>
      <c r="I143" s="6179" t="s">
        <v>902</v>
      </c>
    </row>
    <row customHeight="1" ht="11.25">
      <c r="A144" s="6179" t="s">
        <v>2262</v>
      </c>
      <c r="B144" s="6179" t="s">
        <v>16</v>
      </c>
      <c r="C144" s="6179" t="s">
        <v>2706</v>
      </c>
      <c r="D144" s="6179" t="s">
        <v>2408</v>
      </c>
      <c r="E144" s="6179" t="s">
        <v>2409</v>
      </c>
      <c r="F144" s="6179" t="s">
        <v>2707</v>
      </c>
      <c r="G144" s="6179" t="s">
        <v>28</v>
      </c>
      <c r="H144" s="6179" t="s">
        <v>28</v>
      </c>
      <c r="I144" s="6179" t="s">
        <v>902</v>
      </c>
    </row>
    <row customHeight="1" ht="11.25">
      <c r="A145" s="6179" t="s">
        <v>2262</v>
      </c>
      <c r="B145" s="6179" t="s">
        <v>16</v>
      </c>
      <c r="C145" s="6179" t="s">
        <v>2407</v>
      </c>
      <c r="D145" s="6179" t="s">
        <v>2408</v>
      </c>
      <c r="E145" s="6179" t="s">
        <v>2409</v>
      </c>
      <c r="F145" s="6179" t="s">
        <v>2406</v>
      </c>
      <c r="G145" s="6179" t="s">
        <v>28</v>
      </c>
      <c r="H145" s="6179" t="s">
        <v>28</v>
      </c>
      <c r="I145" s="6179" t="s">
        <v>902</v>
      </c>
    </row>
    <row customHeight="1" ht="11.25">
      <c r="A146" s="6179" t="s">
        <v>2262</v>
      </c>
      <c r="B146" s="6179" t="s">
        <v>16</v>
      </c>
      <c r="C146" s="6179" t="s">
        <v>2708</v>
      </c>
      <c r="D146" s="6179" t="s">
        <v>2709</v>
      </c>
      <c r="E146" s="6179" t="s">
        <v>2409</v>
      </c>
      <c r="F146" s="6179" t="s">
        <v>2710</v>
      </c>
      <c r="G146" s="6179" t="s">
        <v>28</v>
      </c>
      <c r="H146" s="6179" t="s">
        <v>28</v>
      </c>
      <c r="I146" s="6179" t="s">
        <v>902</v>
      </c>
    </row>
    <row customHeight="1" ht="11.25">
      <c r="A147" s="6179" t="s">
        <v>2262</v>
      </c>
      <c r="B147" s="6179" t="s">
        <v>16</v>
      </c>
      <c r="C147" s="6179" t="s">
        <v>2418</v>
      </c>
      <c r="D147" s="6179" t="s">
        <v>2419</v>
      </c>
      <c r="E147" s="6179" t="s">
        <v>2420</v>
      </c>
      <c r="F147" s="6179" t="s">
        <v>2294</v>
      </c>
      <c r="G147" s="6179" t="s">
        <v>28</v>
      </c>
      <c r="H147" s="6179" t="s">
        <v>28</v>
      </c>
      <c r="I147" s="6179" t="s">
        <v>902</v>
      </c>
    </row>
    <row customHeight="1" ht="11.25">
      <c r="A148" s="6179" t="s">
        <v>2262</v>
      </c>
      <c r="B148" s="6179" t="s">
        <v>16</v>
      </c>
      <c r="C148" s="6179" t="s">
        <v>2425</v>
      </c>
      <c r="D148" s="6179" t="s">
        <v>2426</v>
      </c>
      <c r="E148" s="6179" t="s">
        <v>2427</v>
      </c>
      <c r="F148" s="6179" t="s">
        <v>2428</v>
      </c>
      <c r="G148" s="6179" t="s">
        <v>28</v>
      </c>
      <c r="H148" s="6179" t="s">
        <v>28</v>
      </c>
      <c r="I148" s="6179" t="s">
        <v>902</v>
      </c>
    </row>
    <row customHeight="1" ht="11.25">
      <c r="A149" s="6179" t="s">
        <v>2262</v>
      </c>
      <c r="B149" s="6179" t="s">
        <v>16</v>
      </c>
      <c r="C149" s="6179" t="s">
        <v>2443</v>
      </c>
      <c r="D149" s="6179" t="s">
        <v>2444</v>
      </c>
      <c r="E149" s="6179" t="s">
        <v>2445</v>
      </c>
      <c r="F149" s="6179" t="s">
        <v>2406</v>
      </c>
      <c r="G149" s="6179" t="s">
        <v>28</v>
      </c>
      <c r="H149" s="6179" t="s">
        <v>28</v>
      </c>
      <c r="I149" s="6179" t="s">
        <v>902</v>
      </c>
    </row>
    <row customHeight="1" ht="11.25">
      <c r="A150" s="6179" t="s">
        <v>2262</v>
      </c>
      <c r="B150" s="6179" t="s">
        <v>16</v>
      </c>
      <c r="C150" s="6179" t="s">
        <v>2470</v>
      </c>
      <c r="D150" s="6179" t="s">
        <v>2471</v>
      </c>
      <c r="E150" s="6179" t="s">
        <v>2472</v>
      </c>
      <c r="F150" s="6179" t="s">
        <v>52</v>
      </c>
      <c r="G150" s="6179" t="s">
        <v>28</v>
      </c>
      <c r="H150" s="6179" t="s">
        <v>28</v>
      </c>
      <c r="I150" s="6179" t="s">
        <v>902</v>
      </c>
    </row>
    <row customHeight="1" ht="11.25">
      <c r="A151" s="6179" t="s">
        <v>2262</v>
      </c>
      <c r="B151" s="6179" t="s">
        <v>16</v>
      </c>
      <c r="C151" s="6179" t="s">
        <v>2473</v>
      </c>
      <c r="D151" s="6179" t="s">
        <v>2474</v>
      </c>
      <c r="E151" s="6179" t="s">
        <v>2359</v>
      </c>
      <c r="F151" s="6179" t="s">
        <v>2475</v>
      </c>
      <c r="G151" s="6179" t="s">
        <v>28</v>
      </c>
      <c r="H151" s="6179" t="s">
        <v>28</v>
      </c>
      <c r="I151" s="6179" t="s">
        <v>902</v>
      </c>
    </row>
    <row customHeight="1" ht="11.25">
      <c r="A152" s="6179" t="s">
        <v>2262</v>
      </c>
      <c r="B152" s="6179" t="s">
        <v>16</v>
      </c>
      <c r="C152" s="6179" t="s">
        <v>2521</v>
      </c>
      <c r="D152" s="6179" t="s">
        <v>2522</v>
      </c>
      <c r="E152" s="6179" t="s">
        <v>2523</v>
      </c>
      <c r="F152" s="6179" t="s">
        <v>2524</v>
      </c>
      <c r="G152" s="6179" t="s">
        <v>2525</v>
      </c>
      <c r="H152" s="6179" t="s">
        <v>28</v>
      </c>
      <c r="I152" s="6179" t="s">
        <v>902</v>
      </c>
    </row>
    <row customHeight="1" ht="11.25">
      <c r="A153" s="6179" t="s">
        <v>2262</v>
      </c>
      <c r="B153" s="6179" t="s">
        <v>16</v>
      </c>
      <c r="C153" s="6179" t="s">
        <v>2532</v>
      </c>
      <c r="D153" s="6179" t="s">
        <v>2533</v>
      </c>
      <c r="E153" s="6179" t="s">
        <v>2534</v>
      </c>
      <c r="F153" s="6179" t="s">
        <v>2535</v>
      </c>
      <c r="G153" s="6179" t="s">
        <v>28</v>
      </c>
      <c r="H153" s="6179" t="s">
        <v>28</v>
      </c>
      <c r="I153" s="6179" t="s">
        <v>902</v>
      </c>
    </row>
    <row customHeight="1" ht="11.25">
      <c r="A154" s="6179" t="s">
        <v>2262</v>
      </c>
      <c r="B154" s="6179" t="s">
        <v>16</v>
      </c>
      <c r="C154" s="6179" t="s">
        <v>2579</v>
      </c>
      <c r="D154" s="6179" t="s">
        <v>2580</v>
      </c>
      <c r="E154" s="6179" t="s">
        <v>2581</v>
      </c>
      <c r="F154" s="6179" t="s">
        <v>2582</v>
      </c>
      <c r="G154" s="6179" t="s">
        <v>28</v>
      </c>
      <c r="H154" s="6179" t="s">
        <v>28</v>
      </c>
      <c r="I154" s="6179" t="s">
        <v>902</v>
      </c>
    </row>
    <row customHeight="1" ht="11.25">
      <c r="A155" s="6179" t="s">
        <v>2262</v>
      </c>
      <c r="B155" s="6179" t="s">
        <v>16</v>
      </c>
      <c r="C155" s="6179" t="s">
        <v>2630</v>
      </c>
      <c r="D155" s="6179" t="s">
        <v>2631</v>
      </c>
      <c r="E155" s="6179" t="s">
        <v>2632</v>
      </c>
      <c r="F155" s="6179" t="s">
        <v>2265</v>
      </c>
      <c r="G155" s="6179" t="s">
        <v>28</v>
      </c>
      <c r="H155" s="6179" t="s">
        <v>28</v>
      </c>
      <c r="I155" s="6179" t="s">
        <v>902</v>
      </c>
    </row>
    <row customHeight="1" ht="11.25">
      <c r="A156" s="6179" t="s">
        <v>2262</v>
      </c>
      <c r="B156" s="6179" t="s">
        <v>16</v>
      </c>
      <c r="C156" s="6179" t="s">
        <v>2636</v>
      </c>
      <c r="D156" s="6179" t="s">
        <v>2637</v>
      </c>
      <c r="E156" s="6179" t="s">
        <v>2638</v>
      </c>
      <c r="F156" s="6179" t="s">
        <v>2463</v>
      </c>
      <c r="G156" s="6179" t="s">
        <v>28</v>
      </c>
      <c r="H156" s="6179" t="s">
        <v>28</v>
      </c>
      <c r="I156" s="6179" t="s">
        <v>902</v>
      </c>
    </row>
    <row customHeight="1" ht="11.25">
      <c r="A157" s="6179" t="s">
        <v>2262</v>
      </c>
      <c r="B157" s="6179" t="s">
        <v>16</v>
      </c>
      <c r="C157" s="6179" t="s">
        <v>2639</v>
      </c>
      <c r="D157" s="6179" t="s">
        <v>2640</v>
      </c>
      <c r="E157" s="6179" t="s">
        <v>2641</v>
      </c>
      <c r="F157" s="6179" t="s">
        <v>2642</v>
      </c>
      <c r="G157" s="6179" t="s">
        <v>2643</v>
      </c>
      <c r="H157" s="6179" t="s">
        <v>28</v>
      </c>
      <c r="I157" s="6179" t="s">
        <v>902</v>
      </c>
    </row>
    <row customHeight="1" ht="11.25">
      <c r="A158" s="6179" t="s">
        <v>2262</v>
      </c>
      <c r="B158" s="6179" t="s">
        <v>16</v>
      </c>
      <c r="C158" s="6179" t="s">
        <v>2675</v>
      </c>
      <c r="D158" s="6179" t="s">
        <v>2676</v>
      </c>
      <c r="E158" s="6179" t="s">
        <v>2677</v>
      </c>
      <c r="F158" s="6179" t="s">
        <v>2463</v>
      </c>
      <c r="G158" s="6179" t="s">
        <v>28</v>
      </c>
      <c r="H158" s="6179" t="s">
        <v>28</v>
      </c>
      <c r="I158" s="6179" t="s">
        <v>902</v>
      </c>
    </row>
    <row customHeight="1" ht="11.25">
      <c r="A159" s="6179" t="s">
        <v>2262</v>
      </c>
      <c r="B159" s="6179" t="s">
        <v>16</v>
      </c>
      <c r="C159" s="6179" t="s">
        <v>2686</v>
      </c>
      <c r="D159" s="6179" t="s">
        <v>2687</v>
      </c>
      <c r="E159" s="6179" t="s">
        <v>2688</v>
      </c>
      <c r="F159" s="6179" t="s">
        <v>2294</v>
      </c>
      <c r="G159" s="6179" t="s">
        <v>28</v>
      </c>
      <c r="H159" s="6179" t="s">
        <v>28</v>
      </c>
      <c r="I159" s="6179" t="s">
        <v>902</v>
      </c>
    </row>
    <row customHeight="1" ht="11.25">
      <c r="A160" s="6179" t="s">
        <v>2262</v>
      </c>
      <c r="B160" s="6179" t="s">
        <v>16</v>
      </c>
      <c r="C160" s="6179" t="s">
        <v>28</v>
      </c>
      <c r="D160" s="6179" t="s">
        <v>2263</v>
      </c>
      <c r="E160" s="6179" t="s">
        <v>2264</v>
      </c>
      <c r="F160" s="6179" t="s">
        <v>2265</v>
      </c>
      <c r="G160" s="6179" t="s">
        <v>28</v>
      </c>
      <c r="H160" s="6179" t="s">
        <v>28</v>
      </c>
      <c r="I160" s="6179" t="s">
        <v>862</v>
      </c>
    </row>
    <row customHeight="1" ht="11.25">
      <c r="A161" s="6179" t="s">
        <v>2262</v>
      </c>
      <c r="B161" s="6179" t="s">
        <v>16</v>
      </c>
      <c r="C161" s="6179" t="s">
        <v>2266</v>
      </c>
      <c r="D161" s="6179" t="s">
        <v>2267</v>
      </c>
      <c r="E161" s="6179" t="s">
        <v>2268</v>
      </c>
      <c r="F161" s="6179" t="s">
        <v>2269</v>
      </c>
      <c r="G161" s="6179" t="s">
        <v>28</v>
      </c>
      <c r="H161" s="6179" t="s">
        <v>28</v>
      </c>
      <c r="I161" s="6179" t="s">
        <v>862</v>
      </c>
    </row>
    <row customHeight="1" ht="11.25">
      <c r="A162" s="6179" t="s">
        <v>2262</v>
      </c>
      <c r="B162" s="6179" t="s">
        <v>16</v>
      </c>
      <c r="C162" s="6179" t="s">
        <v>2274</v>
      </c>
      <c r="D162" s="6179" t="s">
        <v>2275</v>
      </c>
      <c r="E162" s="6179" t="s">
        <v>2276</v>
      </c>
      <c r="F162" s="6179" t="s">
        <v>2277</v>
      </c>
      <c r="G162" s="6179" t="s">
        <v>28</v>
      </c>
      <c r="H162" s="6179" t="s">
        <v>28</v>
      </c>
      <c r="I162" s="6179" t="s">
        <v>862</v>
      </c>
    </row>
    <row customHeight="1" ht="11.25">
      <c r="A163" s="6179" t="s">
        <v>2262</v>
      </c>
      <c r="B163" s="6179" t="s">
        <v>16</v>
      </c>
      <c r="C163" s="6179" t="s">
        <v>2278</v>
      </c>
      <c r="D163" s="6179" t="s">
        <v>2279</v>
      </c>
      <c r="E163" s="6179" t="s">
        <v>2280</v>
      </c>
      <c r="F163" s="6179" t="s">
        <v>2281</v>
      </c>
      <c r="G163" s="6179" t="s">
        <v>28</v>
      </c>
      <c r="H163" s="6179" t="s">
        <v>28</v>
      </c>
      <c r="I163" s="6179" t="s">
        <v>862</v>
      </c>
    </row>
    <row customHeight="1" ht="11.25">
      <c r="A164" s="6179" t="s">
        <v>2262</v>
      </c>
      <c r="B164" s="6179" t="s">
        <v>16</v>
      </c>
      <c r="C164" s="6179" t="s">
        <v>2282</v>
      </c>
      <c r="D164" s="6179" t="s">
        <v>2279</v>
      </c>
      <c r="E164" s="6179" t="s">
        <v>2280</v>
      </c>
      <c r="F164" s="6179" t="s">
        <v>2283</v>
      </c>
      <c r="G164" s="6179" t="s">
        <v>2284</v>
      </c>
      <c r="H164" s="6179" t="s">
        <v>28</v>
      </c>
      <c r="I164" s="6179" t="s">
        <v>862</v>
      </c>
    </row>
    <row customHeight="1" ht="11.25">
      <c r="A165" s="6179" t="s">
        <v>2262</v>
      </c>
      <c r="B165" s="6179" t="s">
        <v>16</v>
      </c>
      <c r="C165" s="6179" t="s">
        <v>2288</v>
      </c>
      <c r="D165" s="6179" t="s">
        <v>2289</v>
      </c>
      <c r="E165" s="6179" t="s">
        <v>2280</v>
      </c>
      <c r="F165" s="6179" t="s">
        <v>2290</v>
      </c>
      <c r="G165" s="6179" t="s">
        <v>28</v>
      </c>
      <c r="H165" s="6179" t="s">
        <v>28</v>
      </c>
      <c r="I165" s="6179" t="s">
        <v>862</v>
      </c>
    </row>
    <row customHeight="1" ht="11.25">
      <c r="A166" s="6179" t="s">
        <v>2262</v>
      </c>
      <c r="B166" s="6179" t="s">
        <v>16</v>
      </c>
      <c r="C166" s="6179" t="s">
        <v>2291</v>
      </c>
      <c r="D166" s="6179" t="s">
        <v>2292</v>
      </c>
      <c r="E166" s="6179" t="s">
        <v>2293</v>
      </c>
      <c r="F166" s="6179" t="s">
        <v>2294</v>
      </c>
      <c r="G166" s="6179" t="s">
        <v>28</v>
      </c>
      <c r="H166" s="6179" t="s">
        <v>28</v>
      </c>
      <c r="I166" s="6179" t="s">
        <v>862</v>
      </c>
    </row>
    <row customHeight="1" ht="11.25">
      <c r="A167" s="6179" t="s">
        <v>2262</v>
      </c>
      <c r="B167" s="6179" t="s">
        <v>16</v>
      </c>
      <c r="C167" s="6179" t="s">
        <v>2299</v>
      </c>
      <c r="D167" s="6179" t="s">
        <v>2300</v>
      </c>
      <c r="E167" s="6179" t="s">
        <v>2301</v>
      </c>
      <c r="F167" s="6179" t="s">
        <v>52</v>
      </c>
      <c r="G167" s="6179" t="s">
        <v>28</v>
      </c>
      <c r="H167" s="6179" t="s">
        <v>28</v>
      </c>
      <c r="I167" s="6179" t="s">
        <v>862</v>
      </c>
    </row>
    <row customHeight="1" ht="11.25">
      <c r="A168" s="6179" t="s">
        <v>2262</v>
      </c>
      <c r="B168" s="6179" t="s">
        <v>16</v>
      </c>
      <c r="C168" s="6179" t="s">
        <v>2711</v>
      </c>
      <c r="D168" s="6179" t="s">
        <v>2712</v>
      </c>
      <c r="E168" s="6179" t="s">
        <v>2713</v>
      </c>
      <c r="F168" s="6179" t="s">
        <v>2507</v>
      </c>
      <c r="G168" s="6179" t="s">
        <v>2714</v>
      </c>
      <c r="H168" s="6179" t="s">
        <v>28</v>
      </c>
      <c r="I168" s="6179" t="s">
        <v>862</v>
      </c>
    </row>
    <row customHeight="1" ht="11.25">
      <c r="A169" s="6179" t="s">
        <v>2262</v>
      </c>
      <c r="B169" s="6179" t="s">
        <v>16</v>
      </c>
      <c r="C169" s="6179" t="s">
        <v>2307</v>
      </c>
      <c r="D169" s="6179" t="s">
        <v>2308</v>
      </c>
      <c r="E169" s="6179" t="s">
        <v>2309</v>
      </c>
      <c r="F169" s="6179" t="s">
        <v>2273</v>
      </c>
      <c r="G169" s="6179" t="s">
        <v>28</v>
      </c>
      <c r="H169" s="6179" t="s">
        <v>28</v>
      </c>
      <c r="I169" s="6179" t="s">
        <v>862</v>
      </c>
    </row>
    <row customHeight="1" ht="11.25">
      <c r="A170" s="6179" t="s">
        <v>2262</v>
      </c>
      <c r="B170" s="6179" t="s">
        <v>16</v>
      </c>
      <c r="C170" s="6179" t="s">
        <v>2715</v>
      </c>
      <c r="D170" s="6179" t="s">
        <v>2716</v>
      </c>
      <c r="E170" s="6179" t="s">
        <v>2717</v>
      </c>
      <c r="F170" s="6179" t="s">
        <v>2294</v>
      </c>
      <c r="G170" s="6179" t="s">
        <v>2718</v>
      </c>
      <c r="H170" s="6179" t="s">
        <v>28</v>
      </c>
      <c r="I170" s="6179" t="s">
        <v>862</v>
      </c>
    </row>
    <row customHeight="1" ht="11.25">
      <c r="A171" s="6179" t="s">
        <v>2262</v>
      </c>
      <c r="B171" s="6179" t="s">
        <v>16</v>
      </c>
      <c r="C171" s="6179" t="s">
        <v>2319</v>
      </c>
      <c r="D171" s="6179" t="s">
        <v>2320</v>
      </c>
      <c r="E171" s="6179" t="s">
        <v>2321</v>
      </c>
      <c r="F171" s="6179" t="s">
        <v>2322</v>
      </c>
      <c r="G171" s="6179" t="s">
        <v>2323</v>
      </c>
      <c r="H171" s="6179" t="s">
        <v>28</v>
      </c>
      <c r="I171" s="6179" t="s">
        <v>862</v>
      </c>
    </row>
    <row customHeight="1" ht="11.25">
      <c r="A172" s="6179" t="s">
        <v>2262</v>
      </c>
      <c r="B172" s="6179" t="s">
        <v>16</v>
      </c>
      <c r="C172" s="6179" t="s">
        <v>2719</v>
      </c>
      <c r="D172" s="6179" t="s">
        <v>2720</v>
      </c>
      <c r="E172" s="6179" t="s">
        <v>2721</v>
      </c>
      <c r="F172" s="6179" t="s">
        <v>2273</v>
      </c>
      <c r="G172" s="6179" t="s">
        <v>28</v>
      </c>
      <c r="H172" s="6179" t="s">
        <v>28</v>
      </c>
      <c r="I172" s="6179" t="s">
        <v>862</v>
      </c>
    </row>
    <row customHeight="1" ht="11.25">
      <c r="A173" s="6179" t="s">
        <v>2262</v>
      </c>
      <c r="B173" s="6179" t="s">
        <v>16</v>
      </c>
      <c r="C173" s="6179" t="s">
        <v>2327</v>
      </c>
      <c r="D173" s="6179" t="s">
        <v>2328</v>
      </c>
      <c r="E173" s="6179" t="s">
        <v>2329</v>
      </c>
      <c r="F173" s="6179" t="s">
        <v>2330</v>
      </c>
      <c r="G173" s="6179" t="s">
        <v>28</v>
      </c>
      <c r="H173" s="6179" t="s">
        <v>28</v>
      </c>
      <c r="I173" s="6179" t="s">
        <v>862</v>
      </c>
    </row>
    <row customHeight="1" ht="11.25">
      <c r="A174" s="6179" t="s">
        <v>2262</v>
      </c>
      <c r="B174" s="6179" t="s">
        <v>16</v>
      </c>
      <c r="C174" s="6179" t="s">
        <v>2722</v>
      </c>
      <c r="D174" s="6179" t="s">
        <v>2723</v>
      </c>
      <c r="E174" s="6179" t="s">
        <v>2724</v>
      </c>
      <c r="F174" s="6179" t="s">
        <v>2685</v>
      </c>
      <c r="G174" s="6179" t="s">
        <v>2725</v>
      </c>
      <c r="H174" s="6179" t="s">
        <v>28</v>
      </c>
      <c r="I174" s="6179" t="s">
        <v>862</v>
      </c>
    </row>
    <row customHeight="1" ht="11.25">
      <c r="A175" s="6179" t="s">
        <v>2262</v>
      </c>
      <c r="B175" s="6179" t="s">
        <v>16</v>
      </c>
      <c r="C175" s="6179" t="s">
        <v>2339</v>
      </c>
      <c r="D175" s="6179" t="s">
        <v>2340</v>
      </c>
      <c r="E175" s="6179" t="s">
        <v>2341</v>
      </c>
      <c r="F175" s="6179" t="s">
        <v>2265</v>
      </c>
      <c r="G175" s="6179" t="s">
        <v>2342</v>
      </c>
      <c r="H175" s="6179" t="s">
        <v>28</v>
      </c>
      <c r="I175" s="6179" t="s">
        <v>862</v>
      </c>
    </row>
    <row customHeight="1" ht="11.25">
      <c r="A176" s="6179" t="s">
        <v>2262</v>
      </c>
      <c r="B176" s="6179" t="s">
        <v>16</v>
      </c>
      <c r="C176" s="6179" t="s">
        <v>2726</v>
      </c>
      <c r="D176" s="6179" t="s">
        <v>2727</v>
      </c>
      <c r="E176" s="6179" t="s">
        <v>2728</v>
      </c>
      <c r="F176" s="6179" t="s">
        <v>2729</v>
      </c>
      <c r="G176" s="6179" t="s">
        <v>28</v>
      </c>
      <c r="H176" s="6179" t="s">
        <v>28</v>
      </c>
      <c r="I176" s="6179" t="s">
        <v>862</v>
      </c>
    </row>
    <row customHeight="1" ht="11.25">
      <c r="A177" s="6179" t="s">
        <v>2262</v>
      </c>
      <c r="B177" s="6179" t="s">
        <v>16</v>
      </c>
      <c r="C177" s="6179" t="s">
        <v>2361</v>
      </c>
      <c r="D177" s="6179" t="s">
        <v>2362</v>
      </c>
      <c r="E177" s="6179" t="s">
        <v>2359</v>
      </c>
      <c r="F177" s="6179" t="s">
        <v>2363</v>
      </c>
      <c r="G177" s="6179" t="s">
        <v>28</v>
      </c>
      <c r="H177" s="6179" t="s">
        <v>28</v>
      </c>
      <c r="I177" s="6179" t="s">
        <v>862</v>
      </c>
    </row>
    <row customHeight="1" ht="11.25">
      <c r="A178" s="6179" t="s">
        <v>2262</v>
      </c>
      <c r="B178" s="6179" t="s">
        <v>16</v>
      </c>
      <c r="C178" s="6179" t="s">
        <v>2730</v>
      </c>
      <c r="D178" s="6179" t="s">
        <v>2731</v>
      </c>
      <c r="E178" s="6179" t="s">
        <v>2732</v>
      </c>
      <c r="F178" s="6179" t="s">
        <v>2396</v>
      </c>
      <c r="G178" s="6179" t="s">
        <v>28</v>
      </c>
      <c r="H178" s="6179" t="s">
        <v>28</v>
      </c>
      <c r="I178" s="6179" t="s">
        <v>862</v>
      </c>
    </row>
    <row customHeight="1" ht="11.25">
      <c r="A179" s="6179" t="s">
        <v>2262</v>
      </c>
      <c r="B179" s="6179" t="s">
        <v>16</v>
      </c>
      <c r="C179" s="6179" t="s">
        <v>2372</v>
      </c>
      <c r="D179" s="6179" t="s">
        <v>2373</v>
      </c>
      <c r="E179" s="6179" t="s">
        <v>2374</v>
      </c>
      <c r="F179" s="6179" t="s">
        <v>2313</v>
      </c>
      <c r="G179" s="6179" t="s">
        <v>28</v>
      </c>
      <c r="H179" s="6179" t="s">
        <v>28</v>
      </c>
      <c r="I179" s="6179" t="s">
        <v>862</v>
      </c>
    </row>
    <row customHeight="1" ht="11.25">
      <c r="A180" s="6179" t="s">
        <v>2262</v>
      </c>
      <c r="B180" s="6179" t="s">
        <v>16</v>
      </c>
      <c r="C180" s="6179" t="s">
        <v>2733</v>
      </c>
      <c r="D180" s="6179" t="s">
        <v>2734</v>
      </c>
      <c r="E180" s="6179" t="s">
        <v>2735</v>
      </c>
      <c r="F180" s="6179" t="s">
        <v>584</v>
      </c>
      <c r="G180" s="6179" t="s">
        <v>28</v>
      </c>
      <c r="H180" s="6179" t="s">
        <v>28</v>
      </c>
      <c r="I180" s="6179" t="s">
        <v>862</v>
      </c>
    </row>
    <row customHeight="1" ht="11.25">
      <c r="A181" s="6179" t="s">
        <v>2262</v>
      </c>
      <c r="B181" s="6179" t="s">
        <v>16</v>
      </c>
      <c r="C181" s="6179" t="s">
        <v>2736</v>
      </c>
      <c r="D181" s="6179" t="s">
        <v>2737</v>
      </c>
      <c r="E181" s="6179" t="s">
        <v>2738</v>
      </c>
      <c r="F181" s="6179" t="s">
        <v>584</v>
      </c>
      <c r="G181" s="6179" t="s">
        <v>28</v>
      </c>
      <c r="H181" s="6179" t="s">
        <v>28</v>
      </c>
      <c r="I181" s="6179" t="s">
        <v>862</v>
      </c>
    </row>
    <row customHeight="1" ht="11.25">
      <c r="A182" s="6179" t="s">
        <v>2262</v>
      </c>
      <c r="B182" s="6179" t="s">
        <v>16</v>
      </c>
      <c r="C182" s="6179" t="s">
        <v>2739</v>
      </c>
      <c r="D182" s="6179" t="s">
        <v>2740</v>
      </c>
      <c r="E182" s="6179" t="s">
        <v>2741</v>
      </c>
      <c r="F182" s="6179" t="s">
        <v>584</v>
      </c>
      <c r="G182" s="6179" t="s">
        <v>28</v>
      </c>
      <c r="H182" s="6179" t="s">
        <v>28</v>
      </c>
      <c r="I182" s="6179" t="s">
        <v>862</v>
      </c>
    </row>
    <row customHeight="1" ht="11.25">
      <c r="A183" s="6179" t="s">
        <v>2262</v>
      </c>
      <c r="B183" s="6179" t="s">
        <v>16</v>
      </c>
      <c r="C183" s="6179" t="s">
        <v>2397</v>
      </c>
      <c r="D183" s="6179" t="s">
        <v>2398</v>
      </c>
      <c r="E183" s="6179" t="s">
        <v>2399</v>
      </c>
      <c r="F183" s="6179" t="s">
        <v>2367</v>
      </c>
      <c r="G183" s="6179" t="s">
        <v>28</v>
      </c>
      <c r="H183" s="6179" t="s">
        <v>28</v>
      </c>
      <c r="I183" s="6179" t="s">
        <v>862</v>
      </c>
    </row>
    <row customHeight="1" ht="11.25">
      <c r="A184" s="6179" t="s">
        <v>2262</v>
      </c>
      <c r="B184" s="6179" t="s">
        <v>16</v>
      </c>
      <c r="C184" s="6179" t="s">
        <v>2742</v>
      </c>
      <c r="D184" s="6179" t="s">
        <v>2408</v>
      </c>
      <c r="E184" s="6179" t="s">
        <v>2409</v>
      </c>
      <c r="F184" s="6179" t="s">
        <v>2743</v>
      </c>
      <c r="G184" s="6179" t="s">
        <v>28</v>
      </c>
      <c r="H184" s="6179" t="s">
        <v>28</v>
      </c>
      <c r="I184" s="6179" t="s">
        <v>862</v>
      </c>
    </row>
    <row customHeight="1" ht="11.25">
      <c r="A185" s="6179" t="s">
        <v>2262</v>
      </c>
      <c r="B185" s="6179" t="s">
        <v>16</v>
      </c>
      <c r="C185" s="6179" t="s">
        <v>2692</v>
      </c>
      <c r="D185" s="6179" t="s">
        <v>2408</v>
      </c>
      <c r="E185" s="6179" t="s">
        <v>2409</v>
      </c>
      <c r="F185" s="6179" t="s">
        <v>2693</v>
      </c>
      <c r="G185" s="6179" t="s">
        <v>28</v>
      </c>
      <c r="H185" s="6179" t="s">
        <v>28</v>
      </c>
      <c r="I185" s="6179" t="s">
        <v>862</v>
      </c>
    </row>
    <row customHeight="1" ht="11.25">
      <c r="A186" s="6179" t="s">
        <v>2262</v>
      </c>
      <c r="B186" s="6179" t="s">
        <v>16</v>
      </c>
      <c r="C186" s="6179" t="s">
        <v>2694</v>
      </c>
      <c r="D186" s="6179" t="s">
        <v>2408</v>
      </c>
      <c r="E186" s="6179" t="s">
        <v>2409</v>
      </c>
      <c r="F186" s="6179" t="s">
        <v>2695</v>
      </c>
      <c r="G186" s="6179" t="s">
        <v>28</v>
      </c>
      <c r="H186" s="6179" t="s">
        <v>28</v>
      </c>
      <c r="I186" s="6179" t="s">
        <v>862</v>
      </c>
    </row>
    <row customHeight="1" ht="11.25">
      <c r="A187" s="6179" t="s">
        <v>2262</v>
      </c>
      <c r="B187" s="6179" t="s">
        <v>16</v>
      </c>
      <c r="C187" s="6179" t="s">
        <v>2696</v>
      </c>
      <c r="D187" s="6179" t="s">
        <v>2408</v>
      </c>
      <c r="E187" s="6179" t="s">
        <v>2409</v>
      </c>
      <c r="F187" s="6179" t="s">
        <v>2697</v>
      </c>
      <c r="G187" s="6179" t="s">
        <v>28</v>
      </c>
      <c r="H187" s="6179" t="s">
        <v>28</v>
      </c>
      <c r="I187" s="6179" t="s">
        <v>862</v>
      </c>
    </row>
    <row customHeight="1" ht="11.25">
      <c r="A188" s="6179" t="s">
        <v>2262</v>
      </c>
      <c r="B188" s="6179" t="s">
        <v>16</v>
      </c>
      <c r="C188" s="6179" t="s">
        <v>2744</v>
      </c>
      <c r="D188" s="6179" t="s">
        <v>2408</v>
      </c>
      <c r="E188" s="6179" t="s">
        <v>2409</v>
      </c>
      <c r="F188" s="6179" t="s">
        <v>2745</v>
      </c>
      <c r="G188" s="6179" t="s">
        <v>28</v>
      </c>
      <c r="H188" s="6179" t="s">
        <v>28</v>
      </c>
      <c r="I188" s="6179" t="s">
        <v>862</v>
      </c>
    </row>
    <row customHeight="1" ht="11.25">
      <c r="A189" s="6179" t="s">
        <v>2262</v>
      </c>
      <c r="B189" s="6179" t="s">
        <v>16</v>
      </c>
      <c r="C189" s="6179" t="s">
        <v>2698</v>
      </c>
      <c r="D189" s="6179" t="s">
        <v>2408</v>
      </c>
      <c r="E189" s="6179" t="s">
        <v>2409</v>
      </c>
      <c r="F189" s="6179" t="s">
        <v>2699</v>
      </c>
      <c r="G189" s="6179" t="s">
        <v>28</v>
      </c>
      <c r="H189" s="6179" t="s">
        <v>28</v>
      </c>
      <c r="I189" s="6179" t="s">
        <v>862</v>
      </c>
    </row>
    <row customHeight="1" ht="11.25">
      <c r="A190" s="6179" t="s">
        <v>2262</v>
      </c>
      <c r="B190" s="6179" t="s">
        <v>16</v>
      </c>
      <c r="C190" s="6179" t="s">
        <v>2700</v>
      </c>
      <c r="D190" s="6179" t="s">
        <v>2408</v>
      </c>
      <c r="E190" s="6179" t="s">
        <v>2409</v>
      </c>
      <c r="F190" s="6179" t="s">
        <v>2701</v>
      </c>
      <c r="G190" s="6179" t="s">
        <v>28</v>
      </c>
      <c r="H190" s="6179" t="s">
        <v>28</v>
      </c>
      <c r="I190" s="6179" t="s">
        <v>862</v>
      </c>
    </row>
    <row customHeight="1" ht="11.25">
      <c r="A191" s="6179" t="s">
        <v>2262</v>
      </c>
      <c r="B191" s="6179" t="s">
        <v>16</v>
      </c>
      <c r="C191" s="6179" t="s">
        <v>2702</v>
      </c>
      <c r="D191" s="6179" t="s">
        <v>2408</v>
      </c>
      <c r="E191" s="6179" t="s">
        <v>2409</v>
      </c>
      <c r="F191" s="6179" t="s">
        <v>2703</v>
      </c>
      <c r="G191" s="6179" t="s">
        <v>28</v>
      </c>
      <c r="H191" s="6179" t="s">
        <v>28</v>
      </c>
      <c r="I191" s="6179" t="s">
        <v>862</v>
      </c>
    </row>
    <row customHeight="1" ht="11.25">
      <c r="A192" s="6179" t="s">
        <v>2262</v>
      </c>
      <c r="B192" s="6179" t="s">
        <v>16</v>
      </c>
      <c r="C192" s="6179" t="s">
        <v>2704</v>
      </c>
      <c r="D192" s="6179" t="s">
        <v>2408</v>
      </c>
      <c r="E192" s="6179" t="s">
        <v>2409</v>
      </c>
      <c r="F192" s="6179" t="s">
        <v>2705</v>
      </c>
      <c r="G192" s="6179" t="s">
        <v>28</v>
      </c>
      <c r="H192" s="6179" t="s">
        <v>28</v>
      </c>
      <c r="I192" s="6179" t="s">
        <v>862</v>
      </c>
    </row>
    <row customHeight="1" ht="11.25">
      <c r="A193" s="6179" t="s">
        <v>2262</v>
      </c>
      <c r="B193" s="6179" t="s">
        <v>16</v>
      </c>
      <c r="C193" s="6179" t="s">
        <v>2706</v>
      </c>
      <c r="D193" s="6179" t="s">
        <v>2408</v>
      </c>
      <c r="E193" s="6179" t="s">
        <v>2409</v>
      </c>
      <c r="F193" s="6179" t="s">
        <v>2707</v>
      </c>
      <c r="G193" s="6179" t="s">
        <v>28</v>
      </c>
      <c r="H193" s="6179" t="s">
        <v>28</v>
      </c>
      <c r="I193" s="6179" t="s">
        <v>862</v>
      </c>
    </row>
    <row customHeight="1" ht="11.25">
      <c r="A194" s="6179" t="s">
        <v>2262</v>
      </c>
      <c r="B194" s="6179" t="s">
        <v>16</v>
      </c>
      <c r="C194" s="6179" t="s">
        <v>2407</v>
      </c>
      <c r="D194" s="6179" t="s">
        <v>2408</v>
      </c>
      <c r="E194" s="6179" t="s">
        <v>2409</v>
      </c>
      <c r="F194" s="6179" t="s">
        <v>2406</v>
      </c>
      <c r="G194" s="6179" t="s">
        <v>28</v>
      </c>
      <c r="H194" s="6179" t="s">
        <v>28</v>
      </c>
      <c r="I194" s="6179" t="s">
        <v>862</v>
      </c>
    </row>
    <row customHeight="1" ht="11.25">
      <c r="A195" s="6179" t="s">
        <v>2262</v>
      </c>
      <c r="B195" s="6179" t="s">
        <v>16</v>
      </c>
      <c r="C195" s="6179" t="s">
        <v>2746</v>
      </c>
      <c r="D195" s="6179" t="s">
        <v>2747</v>
      </c>
      <c r="E195" s="6179" t="s">
        <v>2748</v>
      </c>
      <c r="F195" s="6179" t="s">
        <v>2294</v>
      </c>
      <c r="G195" s="6179" t="s">
        <v>28</v>
      </c>
      <c r="H195" s="6179" t="s">
        <v>28</v>
      </c>
      <c r="I195" s="6179" t="s">
        <v>862</v>
      </c>
    </row>
    <row customHeight="1" ht="11.25">
      <c r="A196" s="6179" t="s">
        <v>2262</v>
      </c>
      <c r="B196" s="6179" t="s">
        <v>16</v>
      </c>
      <c r="C196" s="6179" t="s">
        <v>2749</v>
      </c>
      <c r="D196" s="6179" t="s">
        <v>2747</v>
      </c>
      <c r="E196" s="6179" t="s">
        <v>2748</v>
      </c>
      <c r="F196" s="6179" t="s">
        <v>2750</v>
      </c>
      <c r="G196" s="6179" t="s">
        <v>28</v>
      </c>
      <c r="H196" s="6179" t="s">
        <v>28</v>
      </c>
      <c r="I196" s="6179" t="s">
        <v>862</v>
      </c>
    </row>
    <row customHeight="1" ht="11.25">
      <c r="A197" s="6179" t="s">
        <v>2262</v>
      </c>
      <c r="B197" s="6179" t="s">
        <v>16</v>
      </c>
      <c r="C197" s="6179" t="s">
        <v>2751</v>
      </c>
      <c r="D197" s="6179" t="s">
        <v>2709</v>
      </c>
      <c r="E197" s="6179" t="s">
        <v>2409</v>
      </c>
      <c r="F197" s="6179" t="s">
        <v>2752</v>
      </c>
      <c r="G197" s="6179" t="s">
        <v>28</v>
      </c>
      <c r="H197" s="6179" t="s">
        <v>28</v>
      </c>
      <c r="I197" s="6179" t="s">
        <v>862</v>
      </c>
    </row>
    <row customHeight="1" ht="11.25">
      <c r="A198" s="6179" t="s">
        <v>2262</v>
      </c>
      <c r="B198" s="6179" t="s">
        <v>16</v>
      </c>
      <c r="C198" s="6179" t="s">
        <v>2708</v>
      </c>
      <c r="D198" s="6179" t="s">
        <v>2709</v>
      </c>
      <c r="E198" s="6179" t="s">
        <v>2409</v>
      </c>
      <c r="F198" s="6179" t="s">
        <v>2710</v>
      </c>
      <c r="G198" s="6179" t="s">
        <v>28</v>
      </c>
      <c r="H198" s="6179" t="s">
        <v>28</v>
      </c>
      <c r="I198" s="6179" t="s">
        <v>862</v>
      </c>
    </row>
    <row customHeight="1" ht="11.25">
      <c r="A199" s="6179" t="s">
        <v>2262</v>
      </c>
      <c r="B199" s="6179" t="s">
        <v>16</v>
      </c>
      <c r="C199" s="6179" t="s">
        <v>2753</v>
      </c>
      <c r="D199" s="6179" t="s">
        <v>2754</v>
      </c>
      <c r="E199" s="6179" t="s">
        <v>2755</v>
      </c>
      <c r="F199" s="6179" t="s">
        <v>52</v>
      </c>
      <c r="G199" s="6179" t="s">
        <v>28</v>
      </c>
      <c r="H199" s="6179" t="s">
        <v>28</v>
      </c>
      <c r="I199" s="6179" t="s">
        <v>862</v>
      </c>
    </row>
    <row customHeight="1" ht="11.25">
      <c r="A200" s="6179" t="s">
        <v>2262</v>
      </c>
      <c r="B200" s="6179" t="s">
        <v>16</v>
      </c>
      <c r="C200" s="6179" t="s">
        <v>2756</v>
      </c>
      <c r="D200" s="6179" t="s">
        <v>2757</v>
      </c>
      <c r="E200" s="6179" t="s">
        <v>2758</v>
      </c>
      <c r="F200" s="6179" t="s">
        <v>2494</v>
      </c>
      <c r="G200" s="6179" t="s">
        <v>28</v>
      </c>
      <c r="H200" s="6179" t="s">
        <v>28</v>
      </c>
      <c r="I200" s="6179" t="s">
        <v>862</v>
      </c>
    </row>
    <row customHeight="1" ht="11.25">
      <c r="A201" s="6179" t="s">
        <v>2262</v>
      </c>
      <c r="B201" s="6179" t="s">
        <v>16</v>
      </c>
      <c r="C201" s="6179" t="s">
        <v>2759</v>
      </c>
      <c r="D201" s="6179" t="s">
        <v>2760</v>
      </c>
      <c r="E201" s="6179" t="s">
        <v>2761</v>
      </c>
      <c r="F201" s="6179" t="s">
        <v>2603</v>
      </c>
      <c r="G201" s="6179" t="s">
        <v>28</v>
      </c>
      <c r="H201" s="6179" t="s">
        <v>28</v>
      </c>
      <c r="I201" s="6179" t="s">
        <v>862</v>
      </c>
    </row>
    <row customHeight="1" ht="11.25">
      <c r="A202" s="6179" t="s">
        <v>2262</v>
      </c>
      <c r="B202" s="6179" t="s">
        <v>16</v>
      </c>
      <c r="C202" s="6179" t="s">
        <v>2762</v>
      </c>
      <c r="D202" s="6179" t="s">
        <v>2763</v>
      </c>
      <c r="E202" s="6179" t="s">
        <v>2764</v>
      </c>
      <c r="F202" s="6179" t="s">
        <v>2322</v>
      </c>
      <c r="G202" s="6179" t="s">
        <v>28</v>
      </c>
      <c r="H202" s="6179" t="s">
        <v>28</v>
      </c>
      <c r="I202" s="6179" t="s">
        <v>862</v>
      </c>
    </row>
    <row customHeight="1" ht="11.25">
      <c r="A203" s="6179" t="s">
        <v>2262</v>
      </c>
      <c r="B203" s="6179" t="s">
        <v>16</v>
      </c>
      <c r="C203" s="6179" t="s">
        <v>2765</v>
      </c>
      <c r="D203" s="6179" t="s">
        <v>2766</v>
      </c>
      <c r="E203" s="6179" t="s">
        <v>2767</v>
      </c>
      <c r="F203" s="6179" t="s">
        <v>2417</v>
      </c>
      <c r="G203" s="6179" t="s">
        <v>28</v>
      </c>
      <c r="H203" s="6179" t="s">
        <v>28</v>
      </c>
      <c r="I203" s="6179" t="s">
        <v>862</v>
      </c>
    </row>
    <row customHeight="1" ht="11.25">
      <c r="A204" s="6179" t="s">
        <v>2262</v>
      </c>
      <c r="B204" s="6179" t="s">
        <v>16</v>
      </c>
      <c r="C204" s="6179" t="s">
        <v>2768</v>
      </c>
      <c r="D204" s="6179" t="s">
        <v>2769</v>
      </c>
      <c r="E204" s="6179" t="s">
        <v>2770</v>
      </c>
      <c r="F204" s="6179" t="s">
        <v>2771</v>
      </c>
      <c r="G204" s="6179" t="s">
        <v>28</v>
      </c>
      <c r="H204" s="6179" t="s">
        <v>28</v>
      </c>
      <c r="I204" s="6179" t="s">
        <v>862</v>
      </c>
    </row>
    <row customHeight="1" ht="11.25">
      <c r="A205" s="6179" t="s">
        <v>2262</v>
      </c>
      <c r="B205" s="6179" t="s">
        <v>16</v>
      </c>
      <c r="C205" s="6179" t="s">
        <v>2772</v>
      </c>
      <c r="D205" s="6179" t="s">
        <v>2773</v>
      </c>
      <c r="E205" s="6179" t="s">
        <v>2774</v>
      </c>
      <c r="F205" s="6179" t="s">
        <v>2322</v>
      </c>
      <c r="G205" s="6179" t="s">
        <v>28</v>
      </c>
      <c r="H205" s="6179" t="s">
        <v>28</v>
      </c>
      <c r="I205" s="6179" t="s">
        <v>862</v>
      </c>
    </row>
    <row customHeight="1" ht="11.25">
      <c r="A206" s="6179" t="s">
        <v>2262</v>
      </c>
      <c r="B206" s="6179" t="s">
        <v>16</v>
      </c>
      <c r="C206" s="6179" t="s">
        <v>2414</v>
      </c>
      <c r="D206" s="6179" t="s">
        <v>2415</v>
      </c>
      <c r="E206" s="6179" t="s">
        <v>2416</v>
      </c>
      <c r="F206" s="6179" t="s">
        <v>2417</v>
      </c>
      <c r="G206" s="6179" t="s">
        <v>28</v>
      </c>
      <c r="H206" s="6179" t="s">
        <v>28</v>
      </c>
      <c r="I206" s="6179" t="s">
        <v>862</v>
      </c>
    </row>
    <row customHeight="1" ht="11.25">
      <c r="A207" s="6179" t="s">
        <v>2262</v>
      </c>
      <c r="B207" s="6179" t="s">
        <v>16</v>
      </c>
      <c r="C207" s="6179" t="s">
        <v>2775</v>
      </c>
      <c r="D207" s="6179" t="s">
        <v>2776</v>
      </c>
      <c r="E207" s="6179" t="s">
        <v>2777</v>
      </c>
      <c r="F207" s="6179" t="s">
        <v>2435</v>
      </c>
      <c r="G207" s="6179" t="s">
        <v>2778</v>
      </c>
      <c r="H207" s="6179" t="s">
        <v>28</v>
      </c>
      <c r="I207" s="6179" t="s">
        <v>862</v>
      </c>
    </row>
    <row customHeight="1" ht="11.25">
      <c r="A208" s="6179" t="s">
        <v>2262</v>
      </c>
      <c r="B208" s="6179" t="s">
        <v>16</v>
      </c>
      <c r="C208" s="6179" t="s">
        <v>2779</v>
      </c>
      <c r="D208" s="6179" t="s">
        <v>2780</v>
      </c>
      <c r="E208" s="6179" t="s">
        <v>2781</v>
      </c>
      <c r="F208" s="6179" t="s">
        <v>2782</v>
      </c>
      <c r="G208" s="6179" t="s">
        <v>28</v>
      </c>
      <c r="H208" s="6179" t="s">
        <v>28</v>
      </c>
      <c r="I208" s="6179" t="s">
        <v>862</v>
      </c>
    </row>
    <row customHeight="1" ht="11.25">
      <c r="A209" s="6179" t="s">
        <v>2262</v>
      </c>
      <c r="B209" s="6179" t="s">
        <v>16</v>
      </c>
      <c r="C209" s="6179" t="s">
        <v>2783</v>
      </c>
      <c r="D209" s="6179" t="s">
        <v>2784</v>
      </c>
      <c r="E209" s="6179" t="s">
        <v>2785</v>
      </c>
      <c r="F209" s="6179" t="s">
        <v>2435</v>
      </c>
      <c r="G209" s="6179" t="s">
        <v>28</v>
      </c>
      <c r="H209" s="6179" t="s">
        <v>28</v>
      </c>
      <c r="I209" s="6179" t="s">
        <v>862</v>
      </c>
    </row>
    <row customHeight="1" ht="11.25">
      <c r="A210" s="6179" t="s">
        <v>2262</v>
      </c>
      <c r="B210" s="6179" t="s">
        <v>16</v>
      </c>
      <c r="C210" s="6179" t="s">
        <v>2786</v>
      </c>
      <c r="D210" s="6179" t="s">
        <v>2787</v>
      </c>
      <c r="E210" s="6179" t="s">
        <v>2788</v>
      </c>
      <c r="F210" s="6179" t="s">
        <v>52</v>
      </c>
      <c r="G210" s="6179" t="s">
        <v>2789</v>
      </c>
      <c r="H210" s="6179" t="s">
        <v>28</v>
      </c>
      <c r="I210" s="6179" t="s">
        <v>862</v>
      </c>
    </row>
    <row customHeight="1" ht="11.25">
      <c r="A211" s="6179" t="s">
        <v>2262</v>
      </c>
      <c r="B211" s="6179" t="s">
        <v>16</v>
      </c>
      <c r="C211" s="6179" t="s">
        <v>2790</v>
      </c>
      <c r="D211" s="6179" t="s">
        <v>2791</v>
      </c>
      <c r="E211" s="6179" t="s">
        <v>2792</v>
      </c>
      <c r="F211" s="6179" t="s">
        <v>52</v>
      </c>
      <c r="G211" s="6179" t="s">
        <v>2793</v>
      </c>
      <c r="H211" s="6179" t="s">
        <v>28</v>
      </c>
      <c r="I211" s="6179" t="s">
        <v>862</v>
      </c>
    </row>
    <row customHeight="1" ht="11.25">
      <c r="A212" s="6179" t="s">
        <v>2262</v>
      </c>
      <c r="B212" s="6179" t="s">
        <v>16</v>
      </c>
      <c r="C212" s="6179" t="s">
        <v>2421</v>
      </c>
      <c r="D212" s="6179" t="s">
        <v>2422</v>
      </c>
      <c r="E212" s="6179" t="s">
        <v>2423</v>
      </c>
      <c r="F212" s="6179" t="s">
        <v>2424</v>
      </c>
      <c r="G212" s="6179" t="s">
        <v>28</v>
      </c>
      <c r="H212" s="6179" t="s">
        <v>28</v>
      </c>
      <c r="I212" s="6179" t="s">
        <v>862</v>
      </c>
    </row>
    <row customHeight="1" ht="11.25">
      <c r="A213" s="6179" t="s">
        <v>2262</v>
      </c>
      <c r="B213" s="6179" t="s">
        <v>16</v>
      </c>
      <c r="C213" s="6179" t="s">
        <v>2425</v>
      </c>
      <c r="D213" s="6179" t="s">
        <v>2426</v>
      </c>
      <c r="E213" s="6179" t="s">
        <v>2427</v>
      </c>
      <c r="F213" s="6179" t="s">
        <v>2428</v>
      </c>
      <c r="G213" s="6179" t="s">
        <v>28</v>
      </c>
      <c r="H213" s="6179" t="s">
        <v>28</v>
      </c>
      <c r="I213" s="6179" t="s">
        <v>862</v>
      </c>
    </row>
    <row customHeight="1" ht="11.25">
      <c r="A214" s="6179" t="s">
        <v>2262</v>
      </c>
      <c r="B214" s="6179" t="s">
        <v>16</v>
      </c>
      <c r="C214" s="6179" t="s">
        <v>2429</v>
      </c>
      <c r="D214" s="6179" t="s">
        <v>2430</v>
      </c>
      <c r="E214" s="6179" t="s">
        <v>2431</v>
      </c>
      <c r="F214" s="6179" t="s">
        <v>2428</v>
      </c>
      <c r="G214" s="6179" t="s">
        <v>28</v>
      </c>
      <c r="H214" s="6179" t="s">
        <v>28</v>
      </c>
      <c r="I214" s="6179" t="s">
        <v>862</v>
      </c>
    </row>
    <row customHeight="1" ht="11.25">
      <c r="A215" s="6179" t="s">
        <v>2262</v>
      </c>
      <c r="B215" s="6179" t="s">
        <v>16</v>
      </c>
      <c r="C215" s="6179" t="s">
        <v>2432</v>
      </c>
      <c r="D215" s="6179" t="s">
        <v>2433</v>
      </c>
      <c r="E215" s="6179" t="s">
        <v>2434</v>
      </c>
      <c r="F215" s="6179" t="s">
        <v>2435</v>
      </c>
      <c r="G215" s="6179" t="s">
        <v>28</v>
      </c>
      <c r="H215" s="6179" t="s">
        <v>28</v>
      </c>
      <c r="I215" s="6179" t="s">
        <v>862</v>
      </c>
    </row>
    <row customHeight="1" ht="11.25">
      <c r="A216" s="6179" t="s">
        <v>2262</v>
      </c>
      <c r="B216" s="6179" t="s">
        <v>16</v>
      </c>
      <c r="C216" s="6179" t="s">
        <v>2794</v>
      </c>
      <c r="D216" s="6179" t="s">
        <v>2795</v>
      </c>
      <c r="E216" s="6179" t="s">
        <v>2796</v>
      </c>
      <c r="F216" s="6179" t="s">
        <v>2367</v>
      </c>
      <c r="G216" s="6179" t="s">
        <v>28</v>
      </c>
      <c r="H216" s="6179" t="s">
        <v>28</v>
      </c>
      <c r="I216" s="6179" t="s">
        <v>862</v>
      </c>
    </row>
    <row customHeight="1" ht="11.25">
      <c r="A217" s="6179" t="s">
        <v>2262</v>
      </c>
      <c r="B217" s="6179" t="s">
        <v>16</v>
      </c>
      <c r="C217" s="6179" t="s">
        <v>2797</v>
      </c>
      <c r="D217" s="6179" t="s">
        <v>2798</v>
      </c>
      <c r="E217" s="6179" t="s">
        <v>2799</v>
      </c>
      <c r="F217" s="6179" t="s">
        <v>2330</v>
      </c>
      <c r="G217" s="6179" t="s">
        <v>2800</v>
      </c>
      <c r="H217" s="6179" t="s">
        <v>28</v>
      </c>
      <c r="I217" s="6179" t="s">
        <v>862</v>
      </c>
    </row>
    <row customHeight="1" ht="11.25">
      <c r="A218" s="6179" t="s">
        <v>2262</v>
      </c>
      <c r="B218" s="6179" t="s">
        <v>16</v>
      </c>
      <c r="C218" s="6179" t="s">
        <v>2801</v>
      </c>
      <c r="D218" s="6179" t="s">
        <v>2802</v>
      </c>
      <c r="E218" s="6179" t="s">
        <v>2803</v>
      </c>
      <c r="F218" s="6179" t="s">
        <v>2388</v>
      </c>
      <c r="G218" s="6179" t="s">
        <v>2804</v>
      </c>
      <c r="H218" s="6179" t="s">
        <v>28</v>
      </c>
      <c r="I218" s="6179" t="s">
        <v>862</v>
      </c>
    </row>
    <row customHeight="1" ht="11.25">
      <c r="A219" s="6179" t="s">
        <v>2262</v>
      </c>
      <c r="B219" s="6179" t="s">
        <v>16</v>
      </c>
      <c r="C219" s="6179" t="s">
        <v>13</v>
      </c>
      <c r="D219" s="6179" t="s">
        <v>47</v>
      </c>
      <c r="E219" s="6179" t="s">
        <v>50</v>
      </c>
      <c r="F219" s="6179" t="s">
        <v>52</v>
      </c>
      <c r="G219" s="6179" t="s">
        <v>28</v>
      </c>
      <c r="H219" s="6179" t="s">
        <v>28</v>
      </c>
      <c r="I219" s="6179" t="s">
        <v>862</v>
      </c>
    </row>
    <row customHeight="1" ht="11.25">
      <c r="A220" s="6179" t="s">
        <v>2262</v>
      </c>
      <c r="B220" s="6179" t="s">
        <v>16</v>
      </c>
      <c r="C220" s="6179" t="s">
        <v>2805</v>
      </c>
      <c r="D220" s="6179" t="s">
        <v>2806</v>
      </c>
      <c r="E220" s="6179" t="s">
        <v>2807</v>
      </c>
      <c r="F220" s="6179" t="s">
        <v>2771</v>
      </c>
      <c r="G220" s="6179" t="s">
        <v>28</v>
      </c>
      <c r="H220" s="6179" t="s">
        <v>28</v>
      </c>
      <c r="I220" s="6179" t="s">
        <v>862</v>
      </c>
    </row>
    <row customHeight="1" ht="11.25">
      <c r="A221" s="6179" t="s">
        <v>2262</v>
      </c>
      <c r="B221" s="6179" t="s">
        <v>16</v>
      </c>
      <c r="C221" s="6179" t="s">
        <v>2436</v>
      </c>
      <c r="D221" s="6179" t="s">
        <v>2437</v>
      </c>
      <c r="E221" s="6179" t="s">
        <v>2438</v>
      </c>
      <c r="F221" s="6179" t="s">
        <v>2424</v>
      </c>
      <c r="G221" s="6179" t="s">
        <v>28</v>
      </c>
      <c r="H221" s="6179" t="s">
        <v>28</v>
      </c>
      <c r="I221" s="6179" t="s">
        <v>862</v>
      </c>
    </row>
    <row customHeight="1" ht="11.25">
      <c r="A222" s="6179" t="s">
        <v>2262</v>
      </c>
      <c r="B222" s="6179" t="s">
        <v>16</v>
      </c>
      <c r="C222" s="6179" t="s">
        <v>2808</v>
      </c>
      <c r="D222" s="6179" t="s">
        <v>2809</v>
      </c>
      <c r="E222" s="6179" t="s">
        <v>2810</v>
      </c>
      <c r="F222" s="6179" t="s">
        <v>2330</v>
      </c>
      <c r="G222" s="6179" t="s">
        <v>28</v>
      </c>
      <c r="H222" s="6179" t="s">
        <v>28</v>
      </c>
      <c r="I222" s="6179" t="s">
        <v>862</v>
      </c>
    </row>
    <row customHeight="1" ht="11.25">
      <c r="A223" s="6179" t="s">
        <v>2262</v>
      </c>
      <c r="B223" s="6179" t="s">
        <v>16</v>
      </c>
      <c r="C223" s="6179" t="s">
        <v>2811</v>
      </c>
      <c r="D223" s="6179" t="s">
        <v>2812</v>
      </c>
      <c r="E223" s="6179" t="s">
        <v>2813</v>
      </c>
      <c r="F223" s="6179" t="s">
        <v>2685</v>
      </c>
      <c r="G223" s="6179" t="s">
        <v>28</v>
      </c>
      <c r="H223" s="6179" t="s">
        <v>28</v>
      </c>
      <c r="I223" s="6179" t="s">
        <v>862</v>
      </c>
    </row>
    <row customHeight="1" ht="11.25">
      <c r="A224" s="6179" t="s">
        <v>2262</v>
      </c>
      <c r="B224" s="6179" t="s">
        <v>16</v>
      </c>
      <c r="C224" s="6179" t="s">
        <v>2814</v>
      </c>
      <c r="D224" s="6179" t="s">
        <v>2815</v>
      </c>
      <c r="E224" s="6179" t="s">
        <v>2816</v>
      </c>
      <c r="F224" s="6179" t="s">
        <v>2269</v>
      </c>
      <c r="G224" s="6179" t="s">
        <v>28</v>
      </c>
      <c r="H224" s="6179" t="s">
        <v>28</v>
      </c>
      <c r="I224" s="6179" t="s">
        <v>862</v>
      </c>
    </row>
    <row customHeight="1" ht="11.25">
      <c r="A225" s="6179" t="s">
        <v>2262</v>
      </c>
      <c r="B225" s="6179" t="s">
        <v>16</v>
      </c>
      <c r="C225" s="6179" t="s">
        <v>2439</v>
      </c>
      <c r="D225" s="6179" t="s">
        <v>2440</v>
      </c>
      <c r="E225" s="6179" t="s">
        <v>2441</v>
      </c>
      <c r="F225" s="6179" t="s">
        <v>2442</v>
      </c>
      <c r="G225" s="6179" t="s">
        <v>28</v>
      </c>
      <c r="H225" s="6179" t="s">
        <v>28</v>
      </c>
      <c r="I225" s="6179" t="s">
        <v>862</v>
      </c>
    </row>
    <row customHeight="1" ht="11.25">
      <c r="A226" s="6179" t="s">
        <v>2262</v>
      </c>
      <c r="B226" s="6179" t="s">
        <v>16</v>
      </c>
      <c r="C226" s="6179" t="s">
        <v>2817</v>
      </c>
      <c r="D226" s="6179" t="s">
        <v>2818</v>
      </c>
      <c r="E226" s="6179" t="s">
        <v>2819</v>
      </c>
      <c r="F226" s="6179" t="s">
        <v>2685</v>
      </c>
      <c r="G226" s="6179" t="s">
        <v>28</v>
      </c>
      <c r="H226" s="6179" t="s">
        <v>28</v>
      </c>
      <c r="I226" s="6179" t="s">
        <v>862</v>
      </c>
    </row>
    <row customHeight="1" ht="11.25">
      <c r="A227" s="6179" t="s">
        <v>2262</v>
      </c>
      <c r="B227" s="6179" t="s">
        <v>16</v>
      </c>
      <c r="C227" s="6179" t="s">
        <v>2443</v>
      </c>
      <c r="D227" s="6179" t="s">
        <v>2444</v>
      </c>
      <c r="E227" s="6179" t="s">
        <v>2445</v>
      </c>
      <c r="F227" s="6179" t="s">
        <v>2406</v>
      </c>
      <c r="G227" s="6179" t="s">
        <v>28</v>
      </c>
      <c r="H227" s="6179" t="s">
        <v>28</v>
      </c>
      <c r="I227" s="6179" t="s">
        <v>862</v>
      </c>
    </row>
    <row customHeight="1" ht="11.25">
      <c r="A228" s="6179" t="s">
        <v>2262</v>
      </c>
      <c r="B228" s="6179" t="s">
        <v>16</v>
      </c>
      <c r="C228" s="6179" t="s">
        <v>2453</v>
      </c>
      <c r="D228" s="6179" t="s">
        <v>2454</v>
      </c>
      <c r="E228" s="6179" t="s">
        <v>2455</v>
      </c>
      <c r="F228" s="6179" t="s">
        <v>2456</v>
      </c>
      <c r="G228" s="6179" t="s">
        <v>28</v>
      </c>
      <c r="H228" s="6179" t="s">
        <v>28</v>
      </c>
      <c r="I228" s="6179" t="s">
        <v>862</v>
      </c>
    </row>
    <row customHeight="1" ht="11.25">
      <c r="A229" s="6179" t="s">
        <v>2262</v>
      </c>
      <c r="B229" s="6179" t="s">
        <v>16</v>
      </c>
      <c r="C229" s="6179" t="s">
        <v>2820</v>
      </c>
      <c r="D229" s="6179" t="s">
        <v>2821</v>
      </c>
      <c r="E229" s="6179" t="s">
        <v>2280</v>
      </c>
      <c r="F229" s="6179" t="s">
        <v>2822</v>
      </c>
      <c r="G229" s="6179" t="s">
        <v>28</v>
      </c>
      <c r="H229" s="6179" t="s">
        <v>28</v>
      </c>
      <c r="I229" s="6179" t="s">
        <v>862</v>
      </c>
    </row>
    <row customHeight="1" ht="11.25">
      <c r="A230" s="6179" t="s">
        <v>2262</v>
      </c>
      <c r="B230" s="6179" t="s">
        <v>16</v>
      </c>
      <c r="C230" s="6179" t="s">
        <v>2823</v>
      </c>
      <c r="D230" s="6179" t="s">
        <v>2824</v>
      </c>
      <c r="E230" s="6179" t="s">
        <v>2825</v>
      </c>
      <c r="F230" s="6179" t="s">
        <v>2269</v>
      </c>
      <c r="G230" s="6179" t="s">
        <v>28</v>
      </c>
      <c r="H230" s="6179" t="s">
        <v>28</v>
      </c>
      <c r="I230" s="6179" t="s">
        <v>862</v>
      </c>
    </row>
    <row customHeight="1" ht="11.25">
      <c r="A231" s="6179" t="s">
        <v>2262</v>
      </c>
      <c r="B231" s="6179" t="s">
        <v>16</v>
      </c>
      <c r="C231" s="6179" t="s">
        <v>2476</v>
      </c>
      <c r="D231" s="6179" t="s">
        <v>2477</v>
      </c>
      <c r="E231" s="6179" t="s">
        <v>2478</v>
      </c>
      <c r="F231" s="6179" t="s">
        <v>2428</v>
      </c>
      <c r="G231" s="6179" t="s">
        <v>28</v>
      </c>
      <c r="H231" s="6179" t="s">
        <v>28</v>
      </c>
      <c r="I231" s="6179" t="s">
        <v>862</v>
      </c>
    </row>
    <row customHeight="1" ht="11.25">
      <c r="A232" s="6179" t="s">
        <v>2262</v>
      </c>
      <c r="B232" s="6179" t="s">
        <v>16</v>
      </c>
      <c r="C232" s="6179" t="s">
        <v>2826</v>
      </c>
      <c r="D232" s="6179" t="s">
        <v>2827</v>
      </c>
      <c r="E232" s="6179" t="s">
        <v>2828</v>
      </c>
      <c r="F232" s="6179" t="s">
        <v>52</v>
      </c>
      <c r="G232" s="6179" t="s">
        <v>2829</v>
      </c>
      <c r="H232" s="6179" t="s">
        <v>28</v>
      </c>
      <c r="I232" s="6179" t="s">
        <v>862</v>
      </c>
    </row>
    <row customHeight="1" ht="11.25">
      <c r="A233" s="6179" t="s">
        <v>2262</v>
      </c>
      <c r="B233" s="6179" t="s">
        <v>16</v>
      </c>
      <c r="C233" s="6179" t="s">
        <v>2830</v>
      </c>
      <c r="D233" s="6179" t="s">
        <v>2831</v>
      </c>
      <c r="E233" s="6179" t="s">
        <v>2832</v>
      </c>
      <c r="F233" s="6179" t="s">
        <v>2313</v>
      </c>
      <c r="G233" s="6179" t="s">
        <v>2833</v>
      </c>
      <c r="H233" s="6179" t="s">
        <v>28</v>
      </c>
      <c r="I233" s="6179" t="s">
        <v>862</v>
      </c>
    </row>
    <row customHeight="1" ht="11.25">
      <c r="A234" s="6179" t="s">
        <v>2262</v>
      </c>
      <c r="B234" s="6179" t="s">
        <v>16</v>
      </c>
      <c r="C234" s="6179" t="s">
        <v>2834</v>
      </c>
      <c r="D234" s="6179" t="s">
        <v>2835</v>
      </c>
      <c r="E234" s="6179" t="s">
        <v>2836</v>
      </c>
      <c r="F234" s="6179" t="s">
        <v>2582</v>
      </c>
      <c r="G234" s="6179" t="s">
        <v>2837</v>
      </c>
      <c r="H234" s="6179" t="s">
        <v>28</v>
      </c>
      <c r="I234" s="6179" t="s">
        <v>862</v>
      </c>
    </row>
    <row customHeight="1" ht="11.25">
      <c r="A235" s="6179" t="s">
        <v>2262</v>
      </c>
      <c r="B235" s="6179" t="s">
        <v>16</v>
      </c>
      <c r="C235" s="6179" t="s">
        <v>2838</v>
      </c>
      <c r="D235" s="6179" t="s">
        <v>2839</v>
      </c>
      <c r="E235" s="6179" t="s">
        <v>2840</v>
      </c>
      <c r="F235" s="6179" t="s">
        <v>2841</v>
      </c>
      <c r="G235" s="6179" t="s">
        <v>28</v>
      </c>
      <c r="H235" s="6179" t="s">
        <v>28</v>
      </c>
      <c r="I235" s="6179" t="s">
        <v>862</v>
      </c>
    </row>
    <row customHeight="1" ht="11.25">
      <c r="A236" s="6179" t="s">
        <v>2262</v>
      </c>
      <c r="B236" s="6179" t="s">
        <v>16</v>
      </c>
      <c r="C236" s="6179" t="s">
        <v>2842</v>
      </c>
      <c r="D236" s="6179" t="s">
        <v>2843</v>
      </c>
      <c r="E236" s="6179" t="s">
        <v>2844</v>
      </c>
      <c r="F236" s="6179" t="s">
        <v>2273</v>
      </c>
      <c r="G236" s="6179" t="s">
        <v>2845</v>
      </c>
      <c r="H236" s="6179" t="s">
        <v>28</v>
      </c>
      <c r="I236" s="6179" t="s">
        <v>862</v>
      </c>
    </row>
    <row customHeight="1" ht="11.25">
      <c r="A237" s="6179" t="s">
        <v>2262</v>
      </c>
      <c r="B237" s="6179" t="s">
        <v>16</v>
      </c>
      <c r="C237" s="6179" t="s">
        <v>2846</v>
      </c>
      <c r="D237" s="6179" t="s">
        <v>2847</v>
      </c>
      <c r="E237" s="6179" t="s">
        <v>2848</v>
      </c>
      <c r="F237" s="6179" t="s">
        <v>2294</v>
      </c>
      <c r="G237" s="6179" t="s">
        <v>28</v>
      </c>
      <c r="H237" s="6179" t="s">
        <v>28</v>
      </c>
      <c r="I237" s="6179" t="s">
        <v>862</v>
      </c>
    </row>
    <row customHeight="1" ht="11.25">
      <c r="A238" s="6179" t="s">
        <v>2262</v>
      </c>
      <c r="B238" s="6179" t="s">
        <v>16</v>
      </c>
      <c r="C238" s="6179" t="s">
        <v>2849</v>
      </c>
      <c r="D238" s="6179" t="s">
        <v>2850</v>
      </c>
      <c r="E238" s="6179" t="s">
        <v>2851</v>
      </c>
      <c r="F238" s="6179" t="s">
        <v>2852</v>
      </c>
      <c r="G238" s="6179" t="s">
        <v>28</v>
      </c>
      <c r="H238" s="6179" t="s">
        <v>28</v>
      </c>
      <c r="I238" s="6179" t="s">
        <v>862</v>
      </c>
    </row>
    <row customHeight="1" ht="11.25">
      <c r="A239" s="6179" t="s">
        <v>2262</v>
      </c>
      <c r="B239" s="6179" t="s">
        <v>16</v>
      </c>
      <c r="C239" s="6179" t="s">
        <v>2853</v>
      </c>
      <c r="D239" s="6179" t="s">
        <v>2854</v>
      </c>
      <c r="E239" s="6179" t="s">
        <v>2855</v>
      </c>
      <c r="F239" s="6179" t="s">
        <v>2659</v>
      </c>
      <c r="G239" s="6179" t="s">
        <v>28</v>
      </c>
      <c r="H239" s="6179" t="s">
        <v>28</v>
      </c>
      <c r="I239" s="6179" t="s">
        <v>862</v>
      </c>
    </row>
    <row customHeight="1" ht="11.25">
      <c r="A240" s="6179" t="s">
        <v>2262</v>
      </c>
      <c r="B240" s="6179" t="s">
        <v>16</v>
      </c>
      <c r="C240" s="6179" t="s">
        <v>2856</v>
      </c>
      <c r="D240" s="6179" t="s">
        <v>2857</v>
      </c>
      <c r="E240" s="6179" t="s">
        <v>2858</v>
      </c>
      <c r="F240" s="6179" t="s">
        <v>2685</v>
      </c>
      <c r="G240" s="6179" t="s">
        <v>2859</v>
      </c>
      <c r="H240" s="6179" t="s">
        <v>28</v>
      </c>
      <c r="I240" s="6179" t="s">
        <v>862</v>
      </c>
    </row>
    <row customHeight="1" ht="11.25">
      <c r="A241" s="6179" t="s">
        <v>2262</v>
      </c>
      <c r="B241" s="6179" t="s">
        <v>16</v>
      </c>
      <c r="C241" s="6179" t="s">
        <v>2491</v>
      </c>
      <c r="D241" s="6179" t="s">
        <v>2492</v>
      </c>
      <c r="E241" s="6179" t="s">
        <v>2493</v>
      </c>
      <c r="F241" s="6179" t="s">
        <v>2494</v>
      </c>
      <c r="G241" s="6179" t="s">
        <v>2495</v>
      </c>
      <c r="H241" s="6179" t="s">
        <v>28</v>
      </c>
      <c r="I241" s="6179" t="s">
        <v>862</v>
      </c>
    </row>
    <row customHeight="1" ht="11.25">
      <c r="A242" s="6179" t="s">
        <v>2262</v>
      </c>
      <c r="B242" s="6179" t="s">
        <v>16</v>
      </c>
      <c r="C242" s="6179" t="s">
        <v>2860</v>
      </c>
      <c r="D242" s="6179" t="s">
        <v>2861</v>
      </c>
      <c r="E242" s="6179" t="s">
        <v>2862</v>
      </c>
      <c r="F242" s="6179" t="s">
        <v>52</v>
      </c>
      <c r="G242" s="6179" t="s">
        <v>28</v>
      </c>
      <c r="H242" s="6179" t="s">
        <v>28</v>
      </c>
      <c r="I242" s="6179" t="s">
        <v>862</v>
      </c>
    </row>
    <row customHeight="1" ht="11.25">
      <c r="A243" s="6179" t="s">
        <v>2262</v>
      </c>
      <c r="B243" s="6179" t="s">
        <v>16</v>
      </c>
      <c r="C243" s="6179" t="s">
        <v>2863</v>
      </c>
      <c r="D243" s="6179" t="s">
        <v>2864</v>
      </c>
      <c r="E243" s="6179" t="s">
        <v>2865</v>
      </c>
      <c r="F243" s="6179" t="s">
        <v>2494</v>
      </c>
      <c r="G243" s="6179" t="s">
        <v>28</v>
      </c>
      <c r="H243" s="6179" t="s">
        <v>28</v>
      </c>
      <c r="I243" s="6179" t="s">
        <v>862</v>
      </c>
    </row>
    <row customHeight="1" ht="11.25">
      <c r="A244" s="6179" t="s">
        <v>2262</v>
      </c>
      <c r="B244" s="6179" t="s">
        <v>16</v>
      </c>
      <c r="C244" s="6179" t="s">
        <v>2866</v>
      </c>
      <c r="D244" s="6179" t="s">
        <v>2867</v>
      </c>
      <c r="E244" s="6179" t="s">
        <v>2868</v>
      </c>
      <c r="F244" s="6179" t="s">
        <v>2265</v>
      </c>
      <c r="G244" s="6179" t="s">
        <v>28</v>
      </c>
      <c r="H244" s="6179" t="s">
        <v>28</v>
      </c>
      <c r="I244" s="6179" t="s">
        <v>862</v>
      </c>
    </row>
    <row customHeight="1" ht="11.25">
      <c r="A245" s="6179" t="s">
        <v>2262</v>
      </c>
      <c r="B245" s="6179" t="s">
        <v>16</v>
      </c>
      <c r="C245" s="6179" t="s">
        <v>2504</v>
      </c>
      <c r="D245" s="6179" t="s">
        <v>2505</v>
      </c>
      <c r="E245" s="6179" t="s">
        <v>2506</v>
      </c>
      <c r="F245" s="6179" t="s">
        <v>2507</v>
      </c>
      <c r="G245" s="6179" t="s">
        <v>28</v>
      </c>
      <c r="H245" s="6179" t="s">
        <v>28</v>
      </c>
      <c r="I245" s="6179" t="s">
        <v>862</v>
      </c>
    </row>
    <row customHeight="1" ht="11.25">
      <c r="A246" s="6179" t="s">
        <v>2262</v>
      </c>
      <c r="B246" s="6179" t="s">
        <v>16</v>
      </c>
      <c r="C246" s="6179" t="s">
        <v>2869</v>
      </c>
      <c r="D246" s="6179" t="s">
        <v>2870</v>
      </c>
      <c r="E246" s="6179" t="s">
        <v>2871</v>
      </c>
      <c r="F246" s="6179" t="s">
        <v>2269</v>
      </c>
      <c r="G246" s="6179" t="s">
        <v>28</v>
      </c>
      <c r="H246" s="6179" t="s">
        <v>28</v>
      </c>
      <c r="I246" s="6179" t="s">
        <v>862</v>
      </c>
    </row>
    <row customHeight="1" ht="11.25">
      <c r="A247" s="6179" t="s">
        <v>2262</v>
      </c>
      <c r="B247" s="6179" t="s">
        <v>16</v>
      </c>
      <c r="C247" s="6179" t="s">
        <v>2508</v>
      </c>
      <c r="D247" s="6179" t="s">
        <v>2509</v>
      </c>
      <c r="E247" s="6179" t="s">
        <v>2510</v>
      </c>
      <c r="F247" s="6179" t="s">
        <v>2494</v>
      </c>
      <c r="G247" s="6179" t="s">
        <v>28</v>
      </c>
      <c r="H247" s="6179" t="s">
        <v>28</v>
      </c>
      <c r="I247" s="6179" t="s">
        <v>862</v>
      </c>
    </row>
    <row customHeight="1" ht="11.25">
      <c r="A248" s="6179" t="s">
        <v>2262</v>
      </c>
      <c r="B248" s="6179" t="s">
        <v>16</v>
      </c>
      <c r="C248" s="6179" t="s">
        <v>2514</v>
      </c>
      <c r="D248" s="6179" t="s">
        <v>2515</v>
      </c>
      <c r="E248" s="6179" t="s">
        <v>2516</v>
      </c>
      <c r="F248" s="6179" t="s">
        <v>2494</v>
      </c>
      <c r="G248" s="6179" t="s">
        <v>28</v>
      </c>
      <c r="H248" s="6179" t="s">
        <v>28</v>
      </c>
      <c r="I248" s="6179" t="s">
        <v>862</v>
      </c>
    </row>
    <row customHeight="1" ht="11.25">
      <c r="A249" s="6179" t="s">
        <v>2262</v>
      </c>
      <c r="B249" s="6179" t="s">
        <v>16</v>
      </c>
      <c r="C249" s="6179" t="s">
        <v>2872</v>
      </c>
      <c r="D249" s="6179" t="s">
        <v>2873</v>
      </c>
      <c r="E249" s="6179" t="s">
        <v>2874</v>
      </c>
      <c r="F249" s="6179" t="s">
        <v>2494</v>
      </c>
      <c r="G249" s="6179" t="s">
        <v>28</v>
      </c>
      <c r="H249" s="6179" t="s">
        <v>28</v>
      </c>
      <c r="I249" s="6179" t="s">
        <v>862</v>
      </c>
    </row>
    <row customHeight="1" ht="11.25">
      <c r="A250" s="6179" t="s">
        <v>2262</v>
      </c>
      <c r="B250" s="6179" t="s">
        <v>16</v>
      </c>
      <c r="C250" s="6179" t="s">
        <v>2875</v>
      </c>
      <c r="D250" s="6179" t="s">
        <v>2876</v>
      </c>
      <c r="E250" s="6179" t="s">
        <v>2877</v>
      </c>
      <c r="F250" s="6179" t="s">
        <v>2442</v>
      </c>
      <c r="G250" s="6179" t="s">
        <v>2878</v>
      </c>
      <c r="H250" s="6179" t="s">
        <v>28</v>
      </c>
      <c r="I250" s="6179" t="s">
        <v>862</v>
      </c>
    </row>
    <row customHeight="1" ht="11.25">
      <c r="A251" s="6179" t="s">
        <v>2262</v>
      </c>
      <c r="B251" s="6179" t="s">
        <v>16</v>
      </c>
      <c r="C251" s="6179" t="s">
        <v>2879</v>
      </c>
      <c r="D251" s="6179" t="s">
        <v>2880</v>
      </c>
      <c r="E251" s="6179" t="s">
        <v>2881</v>
      </c>
      <c r="F251" s="6179" t="s">
        <v>2269</v>
      </c>
      <c r="G251" s="6179" t="s">
        <v>2882</v>
      </c>
      <c r="H251" s="6179" t="s">
        <v>28</v>
      </c>
      <c r="I251" s="6179" t="s">
        <v>862</v>
      </c>
    </row>
    <row customHeight="1" ht="11.25">
      <c r="A252" s="6179" t="s">
        <v>2262</v>
      </c>
      <c r="B252" s="6179" t="s">
        <v>16</v>
      </c>
      <c r="C252" s="6179" t="s">
        <v>2883</v>
      </c>
      <c r="D252" s="6179" t="s">
        <v>2884</v>
      </c>
      <c r="E252" s="6179" t="s">
        <v>2885</v>
      </c>
      <c r="F252" s="6179" t="s">
        <v>2396</v>
      </c>
      <c r="G252" s="6179" t="s">
        <v>28</v>
      </c>
      <c r="H252" s="6179" t="s">
        <v>28</v>
      </c>
      <c r="I252" s="6179" t="s">
        <v>862</v>
      </c>
    </row>
    <row customHeight="1" ht="11.25">
      <c r="A253" s="6179" t="s">
        <v>2262</v>
      </c>
      <c r="B253" s="6179" t="s">
        <v>16</v>
      </c>
      <c r="C253" s="6179" t="s">
        <v>2886</v>
      </c>
      <c r="D253" s="6179" t="s">
        <v>2887</v>
      </c>
      <c r="E253" s="6179" t="s">
        <v>2888</v>
      </c>
      <c r="F253" s="6179" t="s">
        <v>2685</v>
      </c>
      <c r="G253" s="6179" t="s">
        <v>2889</v>
      </c>
      <c r="H253" s="6179" t="s">
        <v>28</v>
      </c>
      <c r="I253" s="6179" t="s">
        <v>862</v>
      </c>
    </row>
    <row customHeight="1" ht="11.25">
      <c r="A254" s="6179" t="s">
        <v>2262</v>
      </c>
      <c r="B254" s="6179" t="s">
        <v>16</v>
      </c>
      <c r="C254" s="6179" t="s">
        <v>2890</v>
      </c>
      <c r="D254" s="6179" t="s">
        <v>2891</v>
      </c>
      <c r="E254" s="6179" t="s">
        <v>2892</v>
      </c>
      <c r="F254" s="6179" t="s">
        <v>2322</v>
      </c>
      <c r="G254" s="6179" t="s">
        <v>2893</v>
      </c>
      <c r="H254" s="6179" t="s">
        <v>28</v>
      </c>
      <c r="I254" s="6179" t="s">
        <v>862</v>
      </c>
    </row>
    <row customHeight="1" ht="11.25">
      <c r="A255" s="6179" t="s">
        <v>2262</v>
      </c>
      <c r="B255" s="6179" t="s">
        <v>16</v>
      </c>
      <c r="C255" s="6179" t="s">
        <v>2894</v>
      </c>
      <c r="D255" s="6179" t="s">
        <v>2895</v>
      </c>
      <c r="E255" s="6179" t="s">
        <v>2896</v>
      </c>
      <c r="F255" s="6179" t="s">
        <v>2582</v>
      </c>
      <c r="G255" s="6179" t="s">
        <v>2897</v>
      </c>
      <c r="H255" s="6179" t="s">
        <v>28</v>
      </c>
      <c r="I255" s="6179" t="s">
        <v>862</v>
      </c>
    </row>
    <row customHeight="1" ht="11.25">
      <c r="A256" s="6179" t="s">
        <v>2262</v>
      </c>
      <c r="B256" s="6179" t="s">
        <v>16</v>
      </c>
      <c r="C256" s="6179" t="s">
        <v>2526</v>
      </c>
      <c r="D256" s="6179" t="s">
        <v>2527</v>
      </c>
      <c r="E256" s="6179" t="s">
        <v>2528</v>
      </c>
      <c r="F256" s="6179" t="s">
        <v>2494</v>
      </c>
      <c r="G256" s="6179" t="s">
        <v>28</v>
      </c>
      <c r="H256" s="6179" t="s">
        <v>28</v>
      </c>
      <c r="I256" s="6179" t="s">
        <v>862</v>
      </c>
    </row>
    <row customHeight="1" ht="11.25">
      <c r="A257" s="6179" t="s">
        <v>2262</v>
      </c>
      <c r="B257" s="6179" t="s">
        <v>16</v>
      </c>
      <c r="C257" s="6179" t="s">
        <v>2898</v>
      </c>
      <c r="D257" s="6179" t="s">
        <v>2899</v>
      </c>
      <c r="E257" s="6179" t="s">
        <v>2900</v>
      </c>
      <c r="F257" s="6179" t="s">
        <v>2442</v>
      </c>
      <c r="G257" s="6179" t="s">
        <v>28</v>
      </c>
      <c r="H257" s="6179" t="s">
        <v>28</v>
      </c>
      <c r="I257" s="6179" t="s">
        <v>862</v>
      </c>
    </row>
    <row customHeight="1" ht="11.25">
      <c r="A258" s="6179" t="s">
        <v>2262</v>
      </c>
      <c r="B258" s="6179" t="s">
        <v>16</v>
      </c>
      <c r="C258" s="6179" t="s">
        <v>2539</v>
      </c>
      <c r="D258" s="6179" t="s">
        <v>2540</v>
      </c>
      <c r="E258" s="6179" t="s">
        <v>2541</v>
      </c>
      <c r="F258" s="6179" t="s">
        <v>52</v>
      </c>
      <c r="G258" s="6179" t="s">
        <v>28</v>
      </c>
      <c r="H258" s="6179" t="s">
        <v>28</v>
      </c>
      <c r="I258" s="6179" t="s">
        <v>862</v>
      </c>
    </row>
    <row customHeight="1" ht="11.25">
      <c r="A259" s="6179" t="s">
        <v>2262</v>
      </c>
      <c r="B259" s="6179" t="s">
        <v>16</v>
      </c>
      <c r="C259" s="6179" t="s">
        <v>2542</v>
      </c>
      <c r="D259" s="6179" t="s">
        <v>2543</v>
      </c>
      <c r="E259" s="6179" t="s">
        <v>2544</v>
      </c>
      <c r="F259" s="6179" t="s">
        <v>2269</v>
      </c>
      <c r="G259" s="6179" t="s">
        <v>28</v>
      </c>
      <c r="H259" s="6179" t="s">
        <v>28</v>
      </c>
      <c r="I259" s="6179" t="s">
        <v>862</v>
      </c>
    </row>
    <row customHeight="1" ht="11.25">
      <c r="A260" s="6179" t="s">
        <v>2262</v>
      </c>
      <c r="B260" s="6179" t="s">
        <v>16</v>
      </c>
      <c r="C260" s="6179" t="s">
        <v>2557</v>
      </c>
      <c r="D260" s="6179" t="s">
        <v>2558</v>
      </c>
      <c r="E260" s="6179" t="s">
        <v>2559</v>
      </c>
      <c r="F260" s="6179" t="s">
        <v>2463</v>
      </c>
      <c r="G260" s="6179" t="s">
        <v>2560</v>
      </c>
      <c r="H260" s="6179" t="s">
        <v>28</v>
      </c>
      <c r="I260" s="6179" t="s">
        <v>862</v>
      </c>
    </row>
    <row customHeight="1" ht="11.25">
      <c r="A261" s="6179" t="s">
        <v>2262</v>
      </c>
      <c r="B261" s="6179" t="s">
        <v>16</v>
      </c>
      <c r="C261" s="6179" t="s">
        <v>2901</v>
      </c>
      <c r="D261" s="6179" t="s">
        <v>2902</v>
      </c>
      <c r="E261" s="6179" t="s">
        <v>2903</v>
      </c>
      <c r="F261" s="6179" t="s">
        <v>2449</v>
      </c>
      <c r="G261" s="6179" t="s">
        <v>28</v>
      </c>
      <c r="H261" s="6179" t="s">
        <v>28</v>
      </c>
      <c r="I261" s="6179" t="s">
        <v>862</v>
      </c>
    </row>
    <row customHeight="1" ht="11.25">
      <c r="A262" s="6179" t="s">
        <v>2262</v>
      </c>
      <c r="B262" s="6179" t="s">
        <v>16</v>
      </c>
      <c r="C262" s="6179" t="s">
        <v>2904</v>
      </c>
      <c r="D262" s="6179" t="s">
        <v>2905</v>
      </c>
      <c r="E262" s="6179" t="s">
        <v>2906</v>
      </c>
      <c r="F262" s="6179" t="s">
        <v>2396</v>
      </c>
      <c r="G262" s="6179" t="s">
        <v>28</v>
      </c>
      <c r="H262" s="6179" t="s">
        <v>28</v>
      </c>
      <c r="I262" s="6179" t="s">
        <v>862</v>
      </c>
    </row>
    <row customHeight="1" ht="11.25">
      <c r="A263" s="6179" t="s">
        <v>2262</v>
      </c>
      <c r="B263" s="6179" t="s">
        <v>16</v>
      </c>
      <c r="C263" s="6179" t="s">
        <v>2573</v>
      </c>
      <c r="D263" s="6179" t="s">
        <v>2574</v>
      </c>
      <c r="E263" s="6179" t="s">
        <v>2575</v>
      </c>
      <c r="F263" s="6179" t="s">
        <v>2269</v>
      </c>
      <c r="G263" s="6179" t="s">
        <v>28</v>
      </c>
      <c r="H263" s="6179" t="s">
        <v>28</v>
      </c>
      <c r="I263" s="6179" t="s">
        <v>862</v>
      </c>
    </row>
    <row customHeight="1" ht="11.25">
      <c r="A264" s="6179" t="s">
        <v>2262</v>
      </c>
      <c r="B264" s="6179" t="s">
        <v>16</v>
      </c>
      <c r="C264" s="6179" t="s">
        <v>2907</v>
      </c>
      <c r="D264" s="6179" t="s">
        <v>2908</v>
      </c>
      <c r="E264" s="6179" t="s">
        <v>2909</v>
      </c>
      <c r="F264" s="6179" t="s">
        <v>2910</v>
      </c>
      <c r="G264" s="6179" t="s">
        <v>28</v>
      </c>
      <c r="H264" s="6179" t="s">
        <v>28</v>
      </c>
      <c r="I264" s="6179" t="s">
        <v>862</v>
      </c>
    </row>
    <row customHeight="1" ht="11.25">
      <c r="A265" s="6179" t="s">
        <v>2262</v>
      </c>
      <c r="B265" s="6179" t="s">
        <v>16</v>
      </c>
      <c r="C265" s="6179" t="s">
        <v>2911</v>
      </c>
      <c r="D265" s="6179" t="s">
        <v>2912</v>
      </c>
      <c r="E265" s="6179" t="s">
        <v>2913</v>
      </c>
      <c r="F265" s="6179" t="s">
        <v>2463</v>
      </c>
      <c r="G265" s="6179" t="s">
        <v>28</v>
      </c>
      <c r="H265" s="6179" t="s">
        <v>28</v>
      </c>
      <c r="I265" s="6179" t="s">
        <v>862</v>
      </c>
    </row>
    <row customHeight="1" ht="11.25">
      <c r="A266" s="6179" t="s">
        <v>2262</v>
      </c>
      <c r="B266" s="6179" t="s">
        <v>16</v>
      </c>
      <c r="C266" s="6179" t="s">
        <v>2914</v>
      </c>
      <c r="D266" s="6179" t="s">
        <v>2915</v>
      </c>
      <c r="E266" s="6179" t="s">
        <v>2916</v>
      </c>
      <c r="F266" s="6179" t="s">
        <v>2294</v>
      </c>
      <c r="G266" s="6179" t="s">
        <v>28</v>
      </c>
      <c r="H266" s="6179" t="s">
        <v>28</v>
      </c>
      <c r="I266" s="6179" t="s">
        <v>862</v>
      </c>
    </row>
    <row customHeight="1" ht="11.25">
      <c r="A267" s="6179" t="s">
        <v>2262</v>
      </c>
      <c r="B267" s="6179" t="s">
        <v>16</v>
      </c>
      <c r="C267" s="6179" t="s">
        <v>2576</v>
      </c>
      <c r="D267" s="6179" t="s">
        <v>2577</v>
      </c>
      <c r="E267" s="6179" t="s">
        <v>2578</v>
      </c>
      <c r="F267" s="6179" t="s">
        <v>2442</v>
      </c>
      <c r="G267" s="6179" t="s">
        <v>2323</v>
      </c>
      <c r="H267" s="6179" t="s">
        <v>28</v>
      </c>
      <c r="I267" s="6179" t="s">
        <v>862</v>
      </c>
    </row>
    <row customHeight="1" ht="11.25">
      <c r="A268" s="6179" t="s">
        <v>2262</v>
      </c>
      <c r="B268" s="6179" t="s">
        <v>16</v>
      </c>
      <c r="C268" s="6179" t="s">
        <v>2917</v>
      </c>
      <c r="D268" s="6179" t="s">
        <v>2918</v>
      </c>
      <c r="E268" s="6179" t="s">
        <v>2919</v>
      </c>
      <c r="F268" s="6179" t="s">
        <v>2442</v>
      </c>
      <c r="G268" s="6179" t="s">
        <v>28</v>
      </c>
      <c r="H268" s="6179" t="s">
        <v>28</v>
      </c>
      <c r="I268" s="6179" t="s">
        <v>862</v>
      </c>
    </row>
    <row customHeight="1" ht="11.25">
      <c r="A269" s="6179" t="s">
        <v>2262</v>
      </c>
      <c r="B269" s="6179" t="s">
        <v>16</v>
      </c>
      <c r="C269" s="6179" t="s">
        <v>2586</v>
      </c>
      <c r="D269" s="6179" t="s">
        <v>2587</v>
      </c>
      <c r="E269" s="6179" t="s">
        <v>2588</v>
      </c>
      <c r="F269" s="6179" t="s">
        <v>2589</v>
      </c>
      <c r="G269" s="6179" t="s">
        <v>28</v>
      </c>
      <c r="H269" s="6179" t="s">
        <v>28</v>
      </c>
      <c r="I269" s="6179" t="s">
        <v>862</v>
      </c>
    </row>
    <row customHeight="1" ht="11.25">
      <c r="A270" s="6179" t="s">
        <v>2262</v>
      </c>
      <c r="B270" s="6179" t="s">
        <v>16</v>
      </c>
      <c r="C270" s="6179" t="s">
        <v>2920</v>
      </c>
      <c r="D270" s="6179" t="s">
        <v>2921</v>
      </c>
      <c r="E270" s="6179" t="s">
        <v>2922</v>
      </c>
      <c r="F270" s="6179" t="s">
        <v>2322</v>
      </c>
      <c r="G270" s="6179" t="s">
        <v>28</v>
      </c>
      <c r="H270" s="6179" t="s">
        <v>28</v>
      </c>
      <c r="I270" s="6179" t="s">
        <v>862</v>
      </c>
    </row>
    <row customHeight="1" ht="11.25">
      <c r="A271" s="6179" t="s">
        <v>2262</v>
      </c>
      <c r="B271" s="6179" t="s">
        <v>16</v>
      </c>
      <c r="C271" s="6179" t="s">
        <v>2600</v>
      </c>
      <c r="D271" s="6179" t="s">
        <v>2601</v>
      </c>
      <c r="E271" s="6179" t="s">
        <v>2602</v>
      </c>
      <c r="F271" s="6179" t="s">
        <v>2603</v>
      </c>
      <c r="G271" s="6179" t="s">
        <v>28</v>
      </c>
      <c r="H271" s="6179" t="s">
        <v>28</v>
      </c>
      <c r="I271" s="6179" t="s">
        <v>862</v>
      </c>
    </row>
    <row customHeight="1" ht="11.25">
      <c r="A272" s="6179" t="s">
        <v>2262</v>
      </c>
      <c r="B272" s="6179" t="s">
        <v>16</v>
      </c>
      <c r="C272" s="6179" t="s">
        <v>2923</v>
      </c>
      <c r="D272" s="6179" t="s">
        <v>2924</v>
      </c>
      <c r="E272" s="6179" t="s">
        <v>2925</v>
      </c>
      <c r="F272" s="6179" t="s">
        <v>2294</v>
      </c>
      <c r="G272" s="6179" t="s">
        <v>28</v>
      </c>
      <c r="H272" s="6179" t="s">
        <v>28</v>
      </c>
      <c r="I272" s="6179" t="s">
        <v>862</v>
      </c>
    </row>
    <row customHeight="1" ht="11.25">
      <c r="A273" s="6179" t="s">
        <v>2262</v>
      </c>
      <c r="B273" s="6179" t="s">
        <v>16</v>
      </c>
      <c r="C273" s="6179" t="s">
        <v>2926</v>
      </c>
      <c r="D273" s="6179" t="s">
        <v>2927</v>
      </c>
      <c r="E273" s="6179" t="s">
        <v>2928</v>
      </c>
      <c r="F273" s="6179" t="s">
        <v>2494</v>
      </c>
      <c r="G273" s="6179" t="s">
        <v>28</v>
      </c>
      <c r="H273" s="6179" t="s">
        <v>28</v>
      </c>
      <c r="I273" s="6179" t="s">
        <v>862</v>
      </c>
    </row>
    <row customHeight="1" ht="11.25">
      <c r="A274" s="6179" t="s">
        <v>2262</v>
      </c>
      <c r="B274" s="6179" t="s">
        <v>16</v>
      </c>
      <c r="C274" s="6179" t="s">
        <v>2929</v>
      </c>
      <c r="D274" s="6179" t="s">
        <v>2930</v>
      </c>
      <c r="E274" s="6179" t="s">
        <v>2931</v>
      </c>
      <c r="F274" s="6179" t="s">
        <v>2269</v>
      </c>
      <c r="G274" s="6179" t="s">
        <v>28</v>
      </c>
      <c r="H274" s="6179" t="s">
        <v>28</v>
      </c>
      <c r="I274" s="6179" t="s">
        <v>862</v>
      </c>
    </row>
    <row customHeight="1" ht="11.25">
      <c r="A275" s="6179" t="s">
        <v>2262</v>
      </c>
      <c r="B275" s="6179" t="s">
        <v>16</v>
      </c>
      <c r="C275" s="6179" t="s">
        <v>2932</v>
      </c>
      <c r="D275" s="6179" t="s">
        <v>2933</v>
      </c>
      <c r="E275" s="6179" t="s">
        <v>2934</v>
      </c>
      <c r="F275" s="6179" t="s">
        <v>2589</v>
      </c>
      <c r="G275" s="6179" t="s">
        <v>28</v>
      </c>
      <c r="H275" s="6179" t="s">
        <v>28</v>
      </c>
      <c r="I275" s="6179" t="s">
        <v>862</v>
      </c>
    </row>
    <row customHeight="1" ht="11.25">
      <c r="A276" s="6179" t="s">
        <v>2262</v>
      </c>
      <c r="B276" s="6179" t="s">
        <v>16</v>
      </c>
      <c r="C276" s="6179" t="s">
        <v>2935</v>
      </c>
      <c r="D276" s="6179" t="s">
        <v>2936</v>
      </c>
      <c r="E276" s="6179" t="s">
        <v>2937</v>
      </c>
      <c r="F276" s="6179" t="s">
        <v>2367</v>
      </c>
      <c r="G276" s="6179" t="s">
        <v>28</v>
      </c>
      <c r="H276" s="6179" t="s">
        <v>28</v>
      </c>
      <c r="I276" s="6179" t="s">
        <v>862</v>
      </c>
    </row>
    <row customHeight="1" ht="11.25">
      <c r="A277" s="6179" t="s">
        <v>2262</v>
      </c>
      <c r="B277" s="6179" t="s">
        <v>16</v>
      </c>
      <c r="C277" s="6179" t="s">
        <v>2938</v>
      </c>
      <c r="D277" s="6179" t="s">
        <v>2939</v>
      </c>
      <c r="E277" s="6179" t="s">
        <v>2940</v>
      </c>
      <c r="F277" s="6179" t="s">
        <v>2265</v>
      </c>
      <c r="G277" s="6179" t="s">
        <v>28</v>
      </c>
      <c r="H277" s="6179" t="s">
        <v>28</v>
      </c>
      <c r="I277" s="6179" t="s">
        <v>862</v>
      </c>
    </row>
    <row customHeight="1" ht="11.25">
      <c r="A278" s="6179" t="s">
        <v>2262</v>
      </c>
      <c r="B278" s="6179" t="s">
        <v>16</v>
      </c>
      <c r="C278" s="6179" t="s">
        <v>2941</v>
      </c>
      <c r="D278" s="6179" t="s">
        <v>2942</v>
      </c>
      <c r="E278" s="6179" t="s">
        <v>2943</v>
      </c>
      <c r="F278" s="6179" t="s">
        <v>2322</v>
      </c>
      <c r="G278" s="6179" t="s">
        <v>28</v>
      </c>
      <c r="H278" s="6179" t="s">
        <v>28</v>
      </c>
      <c r="I278" s="6179" t="s">
        <v>862</v>
      </c>
    </row>
    <row customHeight="1" ht="11.25">
      <c r="A279" s="6179" t="s">
        <v>2262</v>
      </c>
      <c r="B279" s="6179" t="s">
        <v>16</v>
      </c>
      <c r="C279" s="6179" t="s">
        <v>2944</v>
      </c>
      <c r="D279" s="6179" t="s">
        <v>2945</v>
      </c>
      <c r="E279" s="6179" t="s">
        <v>2946</v>
      </c>
      <c r="F279" s="6179" t="s">
        <v>2313</v>
      </c>
      <c r="G279" s="6179" t="s">
        <v>2947</v>
      </c>
      <c r="H279" s="6179" t="s">
        <v>28</v>
      </c>
      <c r="I279" s="6179" t="s">
        <v>862</v>
      </c>
    </row>
    <row customHeight="1" ht="11.25">
      <c r="A280" s="6179" t="s">
        <v>2262</v>
      </c>
      <c r="B280" s="6179" t="s">
        <v>16</v>
      </c>
      <c r="C280" s="6179" t="s">
        <v>2948</v>
      </c>
      <c r="D280" s="6179" t="s">
        <v>2949</v>
      </c>
      <c r="E280" s="6179" t="s">
        <v>2264</v>
      </c>
      <c r="F280" s="6179" t="s">
        <v>2265</v>
      </c>
      <c r="G280" s="6179" t="s">
        <v>28</v>
      </c>
      <c r="H280" s="6179" t="s">
        <v>28</v>
      </c>
      <c r="I280" s="6179" t="s">
        <v>862</v>
      </c>
    </row>
    <row customHeight="1" ht="11.25">
      <c r="A281" s="6179" t="s">
        <v>2262</v>
      </c>
      <c r="B281" s="6179" t="s">
        <v>16</v>
      </c>
      <c r="C281" s="6179" t="s">
        <v>2950</v>
      </c>
      <c r="D281" s="6179" t="s">
        <v>2951</v>
      </c>
      <c r="E281" s="6179" t="s">
        <v>2952</v>
      </c>
      <c r="F281" s="6179" t="s">
        <v>2269</v>
      </c>
      <c r="G281" s="6179" t="s">
        <v>28</v>
      </c>
      <c r="H281" s="6179" t="s">
        <v>28</v>
      </c>
      <c r="I281" s="6179" t="s">
        <v>862</v>
      </c>
    </row>
    <row customHeight="1" ht="11.25">
      <c r="A282" s="6179" t="s">
        <v>2262</v>
      </c>
      <c r="B282" s="6179" t="s">
        <v>16</v>
      </c>
      <c r="C282" s="6179" t="s">
        <v>2953</v>
      </c>
      <c r="D282" s="6179" t="s">
        <v>2954</v>
      </c>
      <c r="E282" s="6179" t="s">
        <v>2955</v>
      </c>
      <c r="F282" s="6179" t="s">
        <v>2269</v>
      </c>
      <c r="G282" s="6179" t="s">
        <v>28</v>
      </c>
      <c r="H282" s="6179" t="s">
        <v>28</v>
      </c>
      <c r="I282" s="6179" t="s">
        <v>862</v>
      </c>
    </row>
    <row customHeight="1" ht="11.25">
      <c r="A283" s="6179" t="s">
        <v>2262</v>
      </c>
      <c r="B283" s="6179" t="s">
        <v>16</v>
      </c>
      <c r="C283" s="6179" t="s">
        <v>2607</v>
      </c>
      <c r="D283" s="6179" t="s">
        <v>2608</v>
      </c>
      <c r="E283" s="6179" t="s">
        <v>2609</v>
      </c>
      <c r="F283" s="6179" t="s">
        <v>2277</v>
      </c>
      <c r="G283" s="6179" t="s">
        <v>28</v>
      </c>
      <c r="H283" s="6179" t="s">
        <v>28</v>
      </c>
      <c r="I283" s="6179" t="s">
        <v>862</v>
      </c>
    </row>
    <row customHeight="1" ht="11.25">
      <c r="A284" s="6179" t="s">
        <v>2262</v>
      </c>
      <c r="B284" s="6179" t="s">
        <v>16</v>
      </c>
      <c r="C284" s="6179" t="s">
        <v>2618</v>
      </c>
      <c r="D284" s="6179" t="s">
        <v>2619</v>
      </c>
      <c r="E284" s="6179" t="s">
        <v>2620</v>
      </c>
      <c r="F284" s="6179" t="s">
        <v>2589</v>
      </c>
      <c r="G284" s="6179" t="s">
        <v>2621</v>
      </c>
      <c r="H284" s="6179" t="s">
        <v>28</v>
      </c>
      <c r="I284" s="6179" t="s">
        <v>862</v>
      </c>
    </row>
    <row customHeight="1" ht="11.25">
      <c r="A285" s="6179" t="s">
        <v>2262</v>
      </c>
      <c r="B285" s="6179" t="s">
        <v>16</v>
      </c>
      <c r="C285" s="6179" t="s">
        <v>2622</v>
      </c>
      <c r="D285" s="6179" t="s">
        <v>2623</v>
      </c>
      <c r="E285" s="6179" t="s">
        <v>2624</v>
      </c>
      <c r="F285" s="6179" t="s">
        <v>2313</v>
      </c>
      <c r="G285" s="6179" t="s">
        <v>2625</v>
      </c>
      <c r="H285" s="6179" t="s">
        <v>28</v>
      </c>
      <c r="I285" s="6179" t="s">
        <v>862</v>
      </c>
    </row>
    <row customHeight="1" ht="11.25">
      <c r="A286" s="6179" t="s">
        <v>2262</v>
      </c>
      <c r="B286" s="6179" t="s">
        <v>16</v>
      </c>
      <c r="C286" s="6179" t="s">
        <v>2956</v>
      </c>
      <c r="D286" s="6179" t="s">
        <v>2957</v>
      </c>
      <c r="E286" s="6179" t="s">
        <v>2958</v>
      </c>
      <c r="F286" s="6179" t="s">
        <v>2367</v>
      </c>
      <c r="G286" s="6179" t="s">
        <v>28</v>
      </c>
      <c r="H286" s="6179" t="s">
        <v>28</v>
      </c>
      <c r="I286" s="6179" t="s">
        <v>862</v>
      </c>
    </row>
    <row customHeight="1" ht="11.25">
      <c r="A287" s="6179" t="s">
        <v>2262</v>
      </c>
      <c r="B287" s="6179" t="s">
        <v>16</v>
      </c>
      <c r="C287" s="6179" t="s">
        <v>2959</v>
      </c>
      <c r="D287" s="6179" t="s">
        <v>2960</v>
      </c>
      <c r="E287" s="6179" t="s">
        <v>2961</v>
      </c>
      <c r="F287" s="6179" t="s">
        <v>2494</v>
      </c>
      <c r="G287" s="6179" t="s">
        <v>28</v>
      </c>
      <c r="H287" s="6179" t="s">
        <v>28</v>
      </c>
      <c r="I287" s="6179" t="s">
        <v>862</v>
      </c>
    </row>
    <row customHeight="1" ht="11.25">
      <c r="A288" s="6179" t="s">
        <v>2262</v>
      </c>
      <c r="B288" s="6179" t="s">
        <v>16</v>
      </c>
      <c r="C288" s="6179" t="s">
        <v>2962</v>
      </c>
      <c r="D288" s="6179" t="s">
        <v>2963</v>
      </c>
      <c r="E288" s="6179" t="s">
        <v>2964</v>
      </c>
      <c r="F288" s="6179" t="s">
        <v>2965</v>
      </c>
      <c r="G288" s="6179" t="s">
        <v>28</v>
      </c>
      <c r="H288" s="6179" t="s">
        <v>28</v>
      </c>
      <c r="I288" s="6179" t="s">
        <v>862</v>
      </c>
    </row>
    <row customHeight="1" ht="11.25">
      <c r="A289" s="6179" t="s">
        <v>2262</v>
      </c>
      <c r="B289" s="6179" t="s">
        <v>16</v>
      </c>
      <c r="C289" s="6179" t="s">
        <v>2966</v>
      </c>
      <c r="D289" s="6179" t="s">
        <v>2967</v>
      </c>
      <c r="E289" s="6179" t="s">
        <v>2968</v>
      </c>
      <c r="F289" s="6179" t="s">
        <v>2396</v>
      </c>
      <c r="G289" s="6179" t="s">
        <v>28</v>
      </c>
      <c r="H289" s="6179" t="s">
        <v>28</v>
      </c>
      <c r="I289" s="6179" t="s">
        <v>862</v>
      </c>
    </row>
    <row customHeight="1" ht="11.25">
      <c r="A290" s="6179" t="s">
        <v>2262</v>
      </c>
      <c r="B290" s="6179" t="s">
        <v>16</v>
      </c>
      <c r="C290" s="6179" t="s">
        <v>2636</v>
      </c>
      <c r="D290" s="6179" t="s">
        <v>2637</v>
      </c>
      <c r="E290" s="6179" t="s">
        <v>2638</v>
      </c>
      <c r="F290" s="6179" t="s">
        <v>2463</v>
      </c>
      <c r="G290" s="6179" t="s">
        <v>28</v>
      </c>
      <c r="H290" s="6179" t="s">
        <v>28</v>
      </c>
      <c r="I290" s="6179" t="s">
        <v>862</v>
      </c>
    </row>
    <row customHeight="1" ht="11.25">
      <c r="A291" s="6179" t="s">
        <v>2262</v>
      </c>
      <c r="B291" s="6179" t="s">
        <v>16</v>
      </c>
      <c r="C291" s="6179" t="s">
        <v>2639</v>
      </c>
      <c r="D291" s="6179" t="s">
        <v>2640</v>
      </c>
      <c r="E291" s="6179" t="s">
        <v>2641</v>
      </c>
      <c r="F291" s="6179" t="s">
        <v>2642</v>
      </c>
      <c r="G291" s="6179" t="s">
        <v>2643</v>
      </c>
      <c r="H291" s="6179" t="s">
        <v>28</v>
      </c>
      <c r="I291" s="6179" t="s">
        <v>862</v>
      </c>
    </row>
    <row customHeight="1" ht="11.25">
      <c r="A292" s="6179" t="s">
        <v>2262</v>
      </c>
      <c r="B292" s="6179" t="s">
        <v>16</v>
      </c>
      <c r="C292" s="6179" t="s">
        <v>2644</v>
      </c>
      <c r="D292" s="6179" t="s">
        <v>2645</v>
      </c>
      <c r="E292" s="6179" t="s">
        <v>2646</v>
      </c>
      <c r="F292" s="6179" t="s">
        <v>2463</v>
      </c>
      <c r="G292" s="6179" t="s">
        <v>28</v>
      </c>
      <c r="H292" s="6179" t="s">
        <v>28</v>
      </c>
      <c r="I292" s="6179" t="s">
        <v>862</v>
      </c>
    </row>
    <row customHeight="1" ht="11.25">
      <c r="A293" s="6179" t="s">
        <v>2262</v>
      </c>
      <c r="B293" s="6179" t="s">
        <v>16</v>
      </c>
      <c r="C293" s="6179" t="s">
        <v>2650</v>
      </c>
      <c r="D293" s="6179" t="s">
        <v>2651</v>
      </c>
      <c r="E293" s="6179" t="s">
        <v>2652</v>
      </c>
      <c r="F293" s="6179" t="s">
        <v>2396</v>
      </c>
      <c r="G293" s="6179" t="s">
        <v>28</v>
      </c>
      <c r="H293" s="6179" t="s">
        <v>28</v>
      </c>
      <c r="I293" s="6179" t="s">
        <v>862</v>
      </c>
    </row>
    <row customHeight="1" ht="11.25">
      <c r="A294" s="6179" t="s">
        <v>2262</v>
      </c>
      <c r="B294" s="6179" t="s">
        <v>16</v>
      </c>
      <c r="C294" s="6179" t="s">
        <v>2969</v>
      </c>
      <c r="D294" s="6179" t="s">
        <v>2970</v>
      </c>
      <c r="E294" s="6179" t="s">
        <v>2971</v>
      </c>
      <c r="F294" s="6179" t="s">
        <v>2782</v>
      </c>
      <c r="G294" s="6179" t="s">
        <v>28</v>
      </c>
      <c r="H294" s="6179" t="s">
        <v>28</v>
      </c>
      <c r="I294" s="6179" t="s">
        <v>862</v>
      </c>
    </row>
    <row customHeight="1" ht="11.25">
      <c r="A295" s="6179" t="s">
        <v>2262</v>
      </c>
      <c r="B295" s="6179" t="s">
        <v>16</v>
      </c>
      <c r="C295" s="6179" t="s">
        <v>2972</v>
      </c>
      <c r="D295" s="6179" t="s">
        <v>2973</v>
      </c>
      <c r="E295" s="6179" t="s">
        <v>2974</v>
      </c>
      <c r="F295" s="6179" t="s">
        <v>2782</v>
      </c>
      <c r="G295" s="6179" t="s">
        <v>28</v>
      </c>
      <c r="H295" s="6179" t="s">
        <v>28</v>
      </c>
      <c r="I295" s="6179" t="s">
        <v>862</v>
      </c>
    </row>
    <row customHeight="1" ht="11.25">
      <c r="A296" s="6179" t="s">
        <v>2262</v>
      </c>
      <c r="B296" s="6179" t="s">
        <v>16</v>
      </c>
      <c r="C296" s="6179" t="s">
        <v>2975</v>
      </c>
      <c r="D296" s="6179" t="s">
        <v>2976</v>
      </c>
      <c r="E296" s="6179" t="s">
        <v>2977</v>
      </c>
      <c r="F296" s="6179" t="s">
        <v>2294</v>
      </c>
      <c r="G296" s="6179" t="s">
        <v>28</v>
      </c>
      <c r="H296" s="6179" t="s">
        <v>28</v>
      </c>
      <c r="I296" s="6179" t="s">
        <v>862</v>
      </c>
    </row>
    <row customHeight="1" ht="11.25">
      <c r="A297" s="6179" t="s">
        <v>2262</v>
      </c>
      <c r="B297" s="6179" t="s">
        <v>16</v>
      </c>
      <c r="C297" s="6179" t="s">
        <v>2978</v>
      </c>
      <c r="D297" s="6179" t="s">
        <v>2979</v>
      </c>
      <c r="E297" s="6179" t="s">
        <v>2980</v>
      </c>
      <c r="F297" s="6179" t="s">
        <v>2659</v>
      </c>
      <c r="G297" s="6179" t="s">
        <v>28</v>
      </c>
      <c r="H297" s="6179" t="s">
        <v>28</v>
      </c>
      <c r="I297" s="6179" t="s">
        <v>862</v>
      </c>
    </row>
    <row customHeight="1" ht="11.25">
      <c r="A298" s="6179" t="s">
        <v>2262</v>
      </c>
      <c r="B298" s="6179" t="s">
        <v>16</v>
      </c>
      <c r="C298" s="6179" t="s">
        <v>2981</v>
      </c>
      <c r="D298" s="6179" t="s">
        <v>2982</v>
      </c>
      <c r="E298" s="6179" t="s">
        <v>2983</v>
      </c>
      <c r="F298" s="6179" t="s">
        <v>2449</v>
      </c>
      <c r="G298" s="6179" t="s">
        <v>28</v>
      </c>
      <c r="H298" s="6179" t="s">
        <v>28</v>
      </c>
      <c r="I298" s="6179" t="s">
        <v>862</v>
      </c>
    </row>
    <row customHeight="1" ht="11.25">
      <c r="A299" s="6179" t="s">
        <v>2262</v>
      </c>
      <c r="B299" s="6179" t="s">
        <v>16</v>
      </c>
      <c r="C299" s="6179" t="s">
        <v>2656</v>
      </c>
      <c r="D299" s="6179" t="s">
        <v>2657</v>
      </c>
      <c r="E299" s="6179" t="s">
        <v>2658</v>
      </c>
      <c r="F299" s="6179" t="s">
        <v>2659</v>
      </c>
      <c r="G299" s="6179" t="s">
        <v>28</v>
      </c>
      <c r="H299" s="6179" t="s">
        <v>28</v>
      </c>
      <c r="I299" s="6179" t="s">
        <v>862</v>
      </c>
    </row>
    <row customHeight="1" ht="11.25">
      <c r="A300" s="6179" t="s">
        <v>2262</v>
      </c>
      <c r="B300" s="6179" t="s">
        <v>16</v>
      </c>
      <c r="C300" s="6179" t="s">
        <v>2984</v>
      </c>
      <c r="D300" s="6179" t="s">
        <v>2985</v>
      </c>
      <c r="E300" s="6179" t="s">
        <v>2986</v>
      </c>
      <c r="F300" s="6179" t="s">
        <v>2396</v>
      </c>
      <c r="G300" s="6179" t="s">
        <v>28</v>
      </c>
      <c r="H300" s="6179" t="s">
        <v>28</v>
      </c>
      <c r="I300" s="6179" t="s">
        <v>862</v>
      </c>
    </row>
    <row customHeight="1" ht="11.25">
      <c r="A301" s="6179" t="s">
        <v>2262</v>
      </c>
      <c r="B301" s="6179" t="s">
        <v>16</v>
      </c>
      <c r="C301" s="6179" t="s">
        <v>2987</v>
      </c>
      <c r="D301" s="6179" t="s">
        <v>2988</v>
      </c>
      <c r="E301" s="6179" t="s">
        <v>2989</v>
      </c>
      <c r="F301" s="6179" t="s">
        <v>2841</v>
      </c>
      <c r="G301" s="6179" t="s">
        <v>2990</v>
      </c>
      <c r="H301" s="6179" t="s">
        <v>28</v>
      </c>
      <c r="I301" s="6179" t="s">
        <v>862</v>
      </c>
    </row>
    <row customHeight="1" ht="11.25">
      <c r="A302" s="6179" t="s">
        <v>2262</v>
      </c>
      <c r="B302" s="6179" t="s">
        <v>16</v>
      </c>
      <c r="C302" s="6179" t="s">
        <v>2991</v>
      </c>
      <c r="D302" s="6179" t="s">
        <v>2992</v>
      </c>
      <c r="E302" s="6179" t="s">
        <v>2993</v>
      </c>
      <c r="F302" s="6179" t="s">
        <v>2367</v>
      </c>
      <c r="G302" s="6179" t="s">
        <v>28</v>
      </c>
      <c r="H302" s="6179" t="s">
        <v>28</v>
      </c>
      <c r="I302" s="6179" t="s">
        <v>862</v>
      </c>
    </row>
    <row customHeight="1" ht="11.25">
      <c r="A303" s="6179" t="s">
        <v>2262</v>
      </c>
      <c r="B303" s="6179" t="s">
        <v>16</v>
      </c>
      <c r="C303" s="6179" t="s">
        <v>2994</v>
      </c>
      <c r="D303" s="6179" t="s">
        <v>2995</v>
      </c>
      <c r="E303" s="6179" t="s">
        <v>2996</v>
      </c>
      <c r="F303" s="6179" t="s">
        <v>2388</v>
      </c>
      <c r="G303" s="6179" t="s">
        <v>28</v>
      </c>
      <c r="H303" s="6179" t="s">
        <v>28</v>
      </c>
      <c r="I303" s="6179" t="s">
        <v>862</v>
      </c>
    </row>
    <row customHeight="1" ht="11.25">
      <c r="A304" s="6179" t="s">
        <v>2262</v>
      </c>
      <c r="B304" s="6179" t="s">
        <v>16</v>
      </c>
      <c r="C304" s="6179" t="s">
        <v>2997</v>
      </c>
      <c r="D304" s="6179" t="s">
        <v>2998</v>
      </c>
      <c r="E304" s="6179" t="s">
        <v>2999</v>
      </c>
      <c r="F304" s="6179" t="s">
        <v>2269</v>
      </c>
      <c r="G304" s="6179" t="s">
        <v>28</v>
      </c>
      <c r="H304" s="6179" t="s">
        <v>28</v>
      </c>
      <c r="I304" s="6179" t="s">
        <v>862</v>
      </c>
    </row>
    <row customHeight="1" ht="11.25">
      <c r="A305" s="6179" t="s">
        <v>2262</v>
      </c>
      <c r="B305" s="6179" t="s">
        <v>16</v>
      </c>
      <c r="C305" s="6179" t="s">
        <v>3000</v>
      </c>
      <c r="D305" s="6179" t="s">
        <v>3001</v>
      </c>
      <c r="E305" s="6179" t="s">
        <v>3002</v>
      </c>
      <c r="F305" s="6179" t="s">
        <v>2424</v>
      </c>
      <c r="G305" s="6179" t="s">
        <v>28</v>
      </c>
      <c r="H305" s="6179" t="s">
        <v>28</v>
      </c>
      <c r="I305" s="6179" t="s">
        <v>862</v>
      </c>
    </row>
    <row customHeight="1" ht="11.25">
      <c r="A306" s="6179" t="s">
        <v>2262</v>
      </c>
      <c r="B306" s="6179" t="s">
        <v>16</v>
      </c>
      <c r="C306" s="6179" t="s">
        <v>3003</v>
      </c>
      <c r="D306" s="6179" t="s">
        <v>3004</v>
      </c>
      <c r="E306" s="6179" t="s">
        <v>3005</v>
      </c>
      <c r="F306" s="6179" t="s">
        <v>2782</v>
      </c>
      <c r="G306" s="6179" t="s">
        <v>3006</v>
      </c>
      <c r="H306" s="6179" t="s">
        <v>28</v>
      </c>
      <c r="I306" s="6179" t="s">
        <v>862</v>
      </c>
    </row>
    <row customHeight="1" ht="11.25">
      <c r="A307" s="6179" t="s">
        <v>2262</v>
      </c>
      <c r="B307" s="6179" t="s">
        <v>16</v>
      </c>
      <c r="C307" s="6179" t="s">
        <v>3007</v>
      </c>
      <c r="D307" s="6179" t="s">
        <v>3008</v>
      </c>
      <c r="E307" s="6179" t="s">
        <v>3009</v>
      </c>
      <c r="F307" s="6179" t="s">
        <v>2322</v>
      </c>
      <c r="G307" s="6179" t="s">
        <v>28</v>
      </c>
      <c r="H307" s="6179" t="s">
        <v>28</v>
      </c>
      <c r="I307" s="6179" t="s">
        <v>862</v>
      </c>
    </row>
    <row customHeight="1" ht="11.25">
      <c r="A308" s="6179" t="s">
        <v>2262</v>
      </c>
      <c r="B308" s="6179" t="s">
        <v>16</v>
      </c>
      <c r="C308" s="6179" t="s">
        <v>2686</v>
      </c>
      <c r="D308" s="6179" t="s">
        <v>2687</v>
      </c>
      <c r="E308" s="6179" t="s">
        <v>2688</v>
      </c>
      <c r="F308" s="6179" t="s">
        <v>2294</v>
      </c>
      <c r="G308" s="6179" t="s">
        <v>28</v>
      </c>
      <c r="H308" s="6179" t="s">
        <v>28</v>
      </c>
      <c r="I308" s="6179" t="s">
        <v>862</v>
      </c>
    </row>
    <row customHeight="1" ht="11.25">
      <c r="A309" s="6179" t="s">
        <v>2262</v>
      </c>
      <c r="B309" s="6179" t="s">
        <v>16</v>
      </c>
      <c r="C309" s="6179" t="s">
        <v>28</v>
      </c>
      <c r="D309" s="6179" t="s">
        <v>2263</v>
      </c>
      <c r="E309" s="6179" t="s">
        <v>2264</v>
      </c>
      <c r="F309" s="6179" t="s">
        <v>2265</v>
      </c>
      <c r="G309" s="6179" t="s">
        <v>28</v>
      </c>
      <c r="H309" s="6179" t="s">
        <v>28</v>
      </c>
      <c r="I309" s="6179" t="s">
        <v>915</v>
      </c>
    </row>
    <row customHeight="1" ht="11.25">
      <c r="A310" s="6179" t="s">
        <v>2262</v>
      </c>
      <c r="B310" s="6179" t="s">
        <v>16</v>
      </c>
      <c r="C310" s="6179" t="s">
        <v>2266</v>
      </c>
      <c r="D310" s="6179" t="s">
        <v>2267</v>
      </c>
      <c r="E310" s="6179" t="s">
        <v>2268</v>
      </c>
      <c r="F310" s="6179" t="s">
        <v>2269</v>
      </c>
      <c r="G310" s="6179" t="s">
        <v>28</v>
      </c>
      <c r="H310" s="6179" t="s">
        <v>28</v>
      </c>
      <c r="I310" s="6179" t="s">
        <v>915</v>
      </c>
    </row>
    <row customHeight="1" ht="11.25">
      <c r="A311" s="6179" t="s">
        <v>2262</v>
      </c>
      <c r="B311" s="6179" t="s">
        <v>16</v>
      </c>
      <c r="C311" s="6179" t="s">
        <v>2274</v>
      </c>
      <c r="D311" s="6179" t="s">
        <v>2275</v>
      </c>
      <c r="E311" s="6179" t="s">
        <v>2276</v>
      </c>
      <c r="F311" s="6179" t="s">
        <v>2277</v>
      </c>
      <c r="G311" s="6179" t="s">
        <v>28</v>
      </c>
      <c r="H311" s="6179" t="s">
        <v>28</v>
      </c>
      <c r="I311" s="6179" t="s">
        <v>915</v>
      </c>
    </row>
    <row customHeight="1" ht="11.25">
      <c r="A312" s="6179" t="s">
        <v>2262</v>
      </c>
      <c r="B312" s="6179" t="s">
        <v>16</v>
      </c>
      <c r="C312" s="6179" t="s">
        <v>2282</v>
      </c>
      <c r="D312" s="6179" t="s">
        <v>2279</v>
      </c>
      <c r="E312" s="6179" t="s">
        <v>2280</v>
      </c>
      <c r="F312" s="6179" t="s">
        <v>2283</v>
      </c>
      <c r="G312" s="6179" t="s">
        <v>2284</v>
      </c>
      <c r="H312" s="6179" t="s">
        <v>28</v>
      </c>
      <c r="I312" s="6179" t="s">
        <v>915</v>
      </c>
    </row>
    <row customHeight="1" ht="11.25">
      <c r="A313" s="6179" t="s">
        <v>2262</v>
      </c>
      <c r="B313" s="6179" t="s">
        <v>16</v>
      </c>
      <c r="C313" s="6179" t="s">
        <v>2291</v>
      </c>
      <c r="D313" s="6179" t="s">
        <v>2292</v>
      </c>
      <c r="E313" s="6179" t="s">
        <v>2293</v>
      </c>
      <c r="F313" s="6179" t="s">
        <v>2294</v>
      </c>
      <c r="G313" s="6179" t="s">
        <v>28</v>
      </c>
      <c r="H313" s="6179" t="s">
        <v>28</v>
      </c>
      <c r="I313" s="6179" t="s">
        <v>915</v>
      </c>
    </row>
    <row customHeight="1" ht="11.25">
      <c r="A314" s="6179" t="s">
        <v>2262</v>
      </c>
      <c r="B314" s="6179" t="s">
        <v>16</v>
      </c>
      <c r="C314" s="6179" t="s">
        <v>2299</v>
      </c>
      <c r="D314" s="6179" t="s">
        <v>2300</v>
      </c>
      <c r="E314" s="6179" t="s">
        <v>2301</v>
      </c>
      <c r="F314" s="6179" t="s">
        <v>52</v>
      </c>
      <c r="G314" s="6179" t="s">
        <v>28</v>
      </c>
      <c r="H314" s="6179" t="s">
        <v>28</v>
      </c>
      <c r="I314" s="6179" t="s">
        <v>915</v>
      </c>
    </row>
    <row customHeight="1" ht="11.25">
      <c r="A315" s="6179" t="s">
        <v>2262</v>
      </c>
      <c r="B315" s="6179" t="s">
        <v>16</v>
      </c>
      <c r="C315" s="6179" t="s">
        <v>2711</v>
      </c>
      <c r="D315" s="6179" t="s">
        <v>2712</v>
      </c>
      <c r="E315" s="6179" t="s">
        <v>2713</v>
      </c>
      <c r="F315" s="6179" t="s">
        <v>2507</v>
      </c>
      <c r="G315" s="6179" t="s">
        <v>2714</v>
      </c>
      <c r="H315" s="6179" t="s">
        <v>28</v>
      </c>
      <c r="I315" s="6179" t="s">
        <v>915</v>
      </c>
    </row>
    <row customHeight="1" ht="11.25">
      <c r="A316" s="6179" t="s">
        <v>2262</v>
      </c>
      <c r="B316" s="6179" t="s">
        <v>16</v>
      </c>
      <c r="C316" s="6179" t="s">
        <v>3010</v>
      </c>
      <c r="D316" s="6179" t="s">
        <v>3011</v>
      </c>
      <c r="E316" s="6179" t="s">
        <v>3012</v>
      </c>
      <c r="F316" s="6179" t="s">
        <v>2265</v>
      </c>
      <c r="G316" s="6179" t="s">
        <v>28</v>
      </c>
      <c r="H316" s="6179" t="s">
        <v>28</v>
      </c>
      <c r="I316" s="6179" t="s">
        <v>915</v>
      </c>
    </row>
    <row customHeight="1" ht="11.25">
      <c r="A317" s="6179" t="s">
        <v>2262</v>
      </c>
      <c r="B317" s="6179" t="s">
        <v>16</v>
      </c>
      <c r="C317" s="6179" t="s">
        <v>2307</v>
      </c>
      <c r="D317" s="6179" t="s">
        <v>2308</v>
      </c>
      <c r="E317" s="6179" t="s">
        <v>2309</v>
      </c>
      <c r="F317" s="6179" t="s">
        <v>2273</v>
      </c>
      <c r="G317" s="6179" t="s">
        <v>28</v>
      </c>
      <c r="H317" s="6179" t="s">
        <v>28</v>
      </c>
      <c r="I317" s="6179" t="s">
        <v>915</v>
      </c>
    </row>
    <row customHeight="1" ht="11.25">
      <c r="A318" s="6179" t="s">
        <v>2262</v>
      </c>
      <c r="B318" s="6179" t="s">
        <v>16</v>
      </c>
      <c r="C318" s="6179" t="s">
        <v>2310</v>
      </c>
      <c r="D318" s="6179" t="s">
        <v>2311</v>
      </c>
      <c r="E318" s="6179" t="s">
        <v>2312</v>
      </c>
      <c r="F318" s="6179" t="s">
        <v>2313</v>
      </c>
      <c r="G318" s="6179" t="s">
        <v>28</v>
      </c>
      <c r="H318" s="6179" t="s">
        <v>28</v>
      </c>
      <c r="I318" s="6179" t="s">
        <v>915</v>
      </c>
    </row>
    <row customHeight="1" ht="11.25">
      <c r="A319" s="6179" t="s">
        <v>2262</v>
      </c>
      <c r="B319" s="6179" t="s">
        <v>16</v>
      </c>
      <c r="C319" s="6179" t="s">
        <v>2715</v>
      </c>
      <c r="D319" s="6179" t="s">
        <v>2716</v>
      </c>
      <c r="E319" s="6179" t="s">
        <v>2717</v>
      </c>
      <c r="F319" s="6179" t="s">
        <v>2294</v>
      </c>
      <c r="G319" s="6179" t="s">
        <v>2718</v>
      </c>
      <c r="H319" s="6179" t="s">
        <v>28</v>
      </c>
      <c r="I319" s="6179" t="s">
        <v>915</v>
      </c>
    </row>
    <row customHeight="1" ht="11.25">
      <c r="A320" s="6179" t="s">
        <v>2262</v>
      </c>
      <c r="B320" s="6179" t="s">
        <v>16</v>
      </c>
      <c r="C320" s="6179" t="s">
        <v>2719</v>
      </c>
      <c r="D320" s="6179" t="s">
        <v>2720</v>
      </c>
      <c r="E320" s="6179" t="s">
        <v>2721</v>
      </c>
      <c r="F320" s="6179" t="s">
        <v>2273</v>
      </c>
      <c r="G320" s="6179" t="s">
        <v>28</v>
      </c>
      <c r="H320" s="6179" t="s">
        <v>28</v>
      </c>
      <c r="I320" s="6179" t="s">
        <v>915</v>
      </c>
    </row>
    <row customHeight="1" ht="11.25">
      <c r="A321" s="6179" t="s">
        <v>2262</v>
      </c>
      <c r="B321" s="6179" t="s">
        <v>16</v>
      </c>
      <c r="C321" s="6179" t="s">
        <v>2327</v>
      </c>
      <c r="D321" s="6179" t="s">
        <v>2328</v>
      </c>
      <c r="E321" s="6179" t="s">
        <v>2329</v>
      </c>
      <c r="F321" s="6179" t="s">
        <v>2330</v>
      </c>
      <c r="G321" s="6179" t="s">
        <v>28</v>
      </c>
      <c r="H321" s="6179" t="s">
        <v>28</v>
      </c>
      <c r="I321" s="6179" t="s">
        <v>915</v>
      </c>
    </row>
    <row customHeight="1" ht="11.25">
      <c r="A322" s="6179" t="s">
        <v>2262</v>
      </c>
      <c r="B322" s="6179" t="s">
        <v>16</v>
      </c>
      <c r="C322" s="6179" t="s">
        <v>2722</v>
      </c>
      <c r="D322" s="6179" t="s">
        <v>2723</v>
      </c>
      <c r="E322" s="6179" t="s">
        <v>2724</v>
      </c>
      <c r="F322" s="6179" t="s">
        <v>2685</v>
      </c>
      <c r="G322" s="6179" t="s">
        <v>2725</v>
      </c>
      <c r="H322" s="6179" t="s">
        <v>28</v>
      </c>
      <c r="I322" s="6179" t="s">
        <v>915</v>
      </c>
    </row>
    <row customHeight="1" ht="11.25">
      <c r="A323" s="6179" t="s">
        <v>2262</v>
      </c>
      <c r="B323" s="6179" t="s">
        <v>16</v>
      </c>
      <c r="C323" s="6179" t="s">
        <v>2339</v>
      </c>
      <c r="D323" s="6179" t="s">
        <v>2340</v>
      </c>
      <c r="E323" s="6179" t="s">
        <v>2341</v>
      </c>
      <c r="F323" s="6179" t="s">
        <v>2265</v>
      </c>
      <c r="G323" s="6179" t="s">
        <v>2342</v>
      </c>
      <c r="H323" s="6179" t="s">
        <v>28</v>
      </c>
      <c r="I323" s="6179" t="s">
        <v>915</v>
      </c>
    </row>
    <row customHeight="1" ht="11.25">
      <c r="A324" s="6179" t="s">
        <v>2262</v>
      </c>
      <c r="B324" s="6179" t="s">
        <v>16</v>
      </c>
      <c r="C324" s="6179" t="s">
        <v>2726</v>
      </c>
      <c r="D324" s="6179" t="s">
        <v>2727</v>
      </c>
      <c r="E324" s="6179" t="s">
        <v>2728</v>
      </c>
      <c r="F324" s="6179" t="s">
        <v>2729</v>
      </c>
      <c r="G324" s="6179" t="s">
        <v>28</v>
      </c>
      <c r="H324" s="6179" t="s">
        <v>28</v>
      </c>
      <c r="I324" s="6179" t="s">
        <v>915</v>
      </c>
    </row>
    <row customHeight="1" ht="11.25">
      <c r="A325" s="6179" t="s">
        <v>2262</v>
      </c>
      <c r="B325" s="6179" t="s">
        <v>16</v>
      </c>
      <c r="C325" s="6179" t="s">
        <v>2361</v>
      </c>
      <c r="D325" s="6179" t="s">
        <v>2362</v>
      </c>
      <c r="E325" s="6179" t="s">
        <v>2359</v>
      </c>
      <c r="F325" s="6179" t="s">
        <v>2363</v>
      </c>
      <c r="G325" s="6179" t="s">
        <v>28</v>
      </c>
      <c r="H325" s="6179" t="s">
        <v>28</v>
      </c>
      <c r="I325" s="6179" t="s">
        <v>915</v>
      </c>
    </row>
    <row customHeight="1" ht="11.25">
      <c r="A326" s="6179" t="s">
        <v>2262</v>
      </c>
      <c r="B326" s="6179" t="s">
        <v>16</v>
      </c>
      <c r="C326" s="6179" t="s">
        <v>2730</v>
      </c>
      <c r="D326" s="6179" t="s">
        <v>2731</v>
      </c>
      <c r="E326" s="6179" t="s">
        <v>2732</v>
      </c>
      <c r="F326" s="6179" t="s">
        <v>2396</v>
      </c>
      <c r="G326" s="6179" t="s">
        <v>28</v>
      </c>
      <c r="H326" s="6179" t="s">
        <v>28</v>
      </c>
      <c r="I326" s="6179" t="s">
        <v>915</v>
      </c>
    </row>
    <row customHeight="1" ht="11.25">
      <c r="A327" s="6179" t="s">
        <v>2262</v>
      </c>
      <c r="B327" s="6179" t="s">
        <v>16</v>
      </c>
      <c r="C327" s="6179" t="s">
        <v>2736</v>
      </c>
      <c r="D327" s="6179" t="s">
        <v>2737</v>
      </c>
      <c r="E327" s="6179" t="s">
        <v>2738</v>
      </c>
      <c r="F327" s="6179" t="s">
        <v>584</v>
      </c>
      <c r="G327" s="6179" t="s">
        <v>28</v>
      </c>
      <c r="H327" s="6179" t="s">
        <v>28</v>
      </c>
      <c r="I327" s="6179" t="s">
        <v>915</v>
      </c>
    </row>
    <row customHeight="1" ht="11.25">
      <c r="A328" s="6179" t="s">
        <v>2262</v>
      </c>
      <c r="B328" s="6179" t="s">
        <v>16</v>
      </c>
      <c r="C328" s="6179" t="s">
        <v>2742</v>
      </c>
      <c r="D328" s="6179" t="s">
        <v>2408</v>
      </c>
      <c r="E328" s="6179" t="s">
        <v>2409</v>
      </c>
      <c r="F328" s="6179" t="s">
        <v>2743</v>
      </c>
      <c r="G328" s="6179" t="s">
        <v>28</v>
      </c>
      <c r="H328" s="6179" t="s">
        <v>28</v>
      </c>
      <c r="I328" s="6179" t="s">
        <v>915</v>
      </c>
    </row>
    <row customHeight="1" ht="11.25">
      <c r="A329" s="6179" t="s">
        <v>2262</v>
      </c>
      <c r="B329" s="6179" t="s">
        <v>16</v>
      </c>
      <c r="C329" s="6179" t="s">
        <v>2692</v>
      </c>
      <c r="D329" s="6179" t="s">
        <v>2408</v>
      </c>
      <c r="E329" s="6179" t="s">
        <v>2409</v>
      </c>
      <c r="F329" s="6179" t="s">
        <v>2693</v>
      </c>
      <c r="G329" s="6179" t="s">
        <v>28</v>
      </c>
      <c r="H329" s="6179" t="s">
        <v>28</v>
      </c>
      <c r="I329" s="6179" t="s">
        <v>915</v>
      </c>
    </row>
    <row customHeight="1" ht="11.25">
      <c r="A330" s="6179" t="s">
        <v>2262</v>
      </c>
      <c r="B330" s="6179" t="s">
        <v>16</v>
      </c>
      <c r="C330" s="6179" t="s">
        <v>2694</v>
      </c>
      <c r="D330" s="6179" t="s">
        <v>2408</v>
      </c>
      <c r="E330" s="6179" t="s">
        <v>2409</v>
      </c>
      <c r="F330" s="6179" t="s">
        <v>2695</v>
      </c>
      <c r="G330" s="6179" t="s">
        <v>28</v>
      </c>
      <c r="H330" s="6179" t="s">
        <v>28</v>
      </c>
      <c r="I330" s="6179" t="s">
        <v>915</v>
      </c>
    </row>
    <row customHeight="1" ht="11.25">
      <c r="A331" s="6179" t="s">
        <v>2262</v>
      </c>
      <c r="B331" s="6179" t="s">
        <v>16</v>
      </c>
      <c r="C331" s="6179" t="s">
        <v>2696</v>
      </c>
      <c r="D331" s="6179" t="s">
        <v>2408</v>
      </c>
      <c r="E331" s="6179" t="s">
        <v>2409</v>
      </c>
      <c r="F331" s="6179" t="s">
        <v>2697</v>
      </c>
      <c r="G331" s="6179" t="s">
        <v>28</v>
      </c>
      <c r="H331" s="6179" t="s">
        <v>28</v>
      </c>
      <c r="I331" s="6179" t="s">
        <v>915</v>
      </c>
    </row>
    <row customHeight="1" ht="11.25">
      <c r="A332" s="6179" t="s">
        <v>2262</v>
      </c>
      <c r="B332" s="6179" t="s">
        <v>16</v>
      </c>
      <c r="C332" s="6179" t="s">
        <v>2744</v>
      </c>
      <c r="D332" s="6179" t="s">
        <v>2408</v>
      </c>
      <c r="E332" s="6179" t="s">
        <v>2409</v>
      </c>
      <c r="F332" s="6179" t="s">
        <v>2745</v>
      </c>
      <c r="G332" s="6179" t="s">
        <v>28</v>
      </c>
      <c r="H332" s="6179" t="s">
        <v>28</v>
      </c>
      <c r="I332" s="6179" t="s">
        <v>915</v>
      </c>
    </row>
    <row customHeight="1" ht="11.25">
      <c r="A333" s="6179" t="s">
        <v>2262</v>
      </c>
      <c r="B333" s="6179" t="s">
        <v>16</v>
      </c>
      <c r="C333" s="6179" t="s">
        <v>2698</v>
      </c>
      <c r="D333" s="6179" t="s">
        <v>2408</v>
      </c>
      <c r="E333" s="6179" t="s">
        <v>2409</v>
      </c>
      <c r="F333" s="6179" t="s">
        <v>2699</v>
      </c>
      <c r="G333" s="6179" t="s">
        <v>28</v>
      </c>
      <c r="H333" s="6179" t="s">
        <v>28</v>
      </c>
      <c r="I333" s="6179" t="s">
        <v>915</v>
      </c>
    </row>
    <row customHeight="1" ht="11.25">
      <c r="A334" s="6179" t="s">
        <v>2262</v>
      </c>
      <c r="B334" s="6179" t="s">
        <v>16</v>
      </c>
      <c r="C334" s="6179" t="s">
        <v>2700</v>
      </c>
      <c r="D334" s="6179" t="s">
        <v>2408</v>
      </c>
      <c r="E334" s="6179" t="s">
        <v>2409</v>
      </c>
      <c r="F334" s="6179" t="s">
        <v>2701</v>
      </c>
      <c r="G334" s="6179" t="s">
        <v>28</v>
      </c>
      <c r="H334" s="6179" t="s">
        <v>28</v>
      </c>
      <c r="I334" s="6179" t="s">
        <v>915</v>
      </c>
    </row>
    <row customHeight="1" ht="11.25">
      <c r="A335" s="6179" t="s">
        <v>2262</v>
      </c>
      <c r="B335" s="6179" t="s">
        <v>16</v>
      </c>
      <c r="C335" s="6179" t="s">
        <v>2702</v>
      </c>
      <c r="D335" s="6179" t="s">
        <v>2408</v>
      </c>
      <c r="E335" s="6179" t="s">
        <v>2409</v>
      </c>
      <c r="F335" s="6179" t="s">
        <v>2703</v>
      </c>
      <c r="G335" s="6179" t="s">
        <v>28</v>
      </c>
      <c r="H335" s="6179" t="s">
        <v>28</v>
      </c>
      <c r="I335" s="6179" t="s">
        <v>915</v>
      </c>
    </row>
    <row customHeight="1" ht="11.25">
      <c r="A336" s="6179" t="s">
        <v>2262</v>
      </c>
      <c r="B336" s="6179" t="s">
        <v>16</v>
      </c>
      <c r="C336" s="6179" t="s">
        <v>2704</v>
      </c>
      <c r="D336" s="6179" t="s">
        <v>2408</v>
      </c>
      <c r="E336" s="6179" t="s">
        <v>2409</v>
      </c>
      <c r="F336" s="6179" t="s">
        <v>2705</v>
      </c>
      <c r="G336" s="6179" t="s">
        <v>28</v>
      </c>
      <c r="H336" s="6179" t="s">
        <v>28</v>
      </c>
      <c r="I336" s="6179" t="s">
        <v>915</v>
      </c>
    </row>
    <row customHeight="1" ht="11.25">
      <c r="A337" s="6179" t="s">
        <v>2262</v>
      </c>
      <c r="B337" s="6179" t="s">
        <v>16</v>
      </c>
      <c r="C337" s="6179" t="s">
        <v>2706</v>
      </c>
      <c r="D337" s="6179" t="s">
        <v>2408</v>
      </c>
      <c r="E337" s="6179" t="s">
        <v>2409</v>
      </c>
      <c r="F337" s="6179" t="s">
        <v>2707</v>
      </c>
      <c r="G337" s="6179" t="s">
        <v>28</v>
      </c>
      <c r="H337" s="6179" t="s">
        <v>28</v>
      </c>
      <c r="I337" s="6179" t="s">
        <v>915</v>
      </c>
    </row>
    <row customHeight="1" ht="11.25">
      <c r="A338" s="6179" t="s">
        <v>2262</v>
      </c>
      <c r="B338" s="6179" t="s">
        <v>16</v>
      </c>
      <c r="C338" s="6179" t="s">
        <v>2407</v>
      </c>
      <c r="D338" s="6179" t="s">
        <v>2408</v>
      </c>
      <c r="E338" s="6179" t="s">
        <v>2409</v>
      </c>
      <c r="F338" s="6179" t="s">
        <v>2406</v>
      </c>
      <c r="G338" s="6179" t="s">
        <v>28</v>
      </c>
      <c r="H338" s="6179" t="s">
        <v>28</v>
      </c>
      <c r="I338" s="6179" t="s">
        <v>915</v>
      </c>
    </row>
    <row customHeight="1" ht="11.25">
      <c r="A339" s="6179" t="s">
        <v>2262</v>
      </c>
      <c r="B339" s="6179" t="s">
        <v>16</v>
      </c>
      <c r="C339" s="6179" t="s">
        <v>2746</v>
      </c>
      <c r="D339" s="6179" t="s">
        <v>2747</v>
      </c>
      <c r="E339" s="6179" t="s">
        <v>2748</v>
      </c>
      <c r="F339" s="6179" t="s">
        <v>2294</v>
      </c>
      <c r="G339" s="6179" t="s">
        <v>28</v>
      </c>
      <c r="H339" s="6179" t="s">
        <v>28</v>
      </c>
      <c r="I339" s="6179" t="s">
        <v>915</v>
      </c>
    </row>
    <row customHeight="1" ht="11.25">
      <c r="A340" s="6179" t="s">
        <v>2262</v>
      </c>
      <c r="B340" s="6179" t="s">
        <v>16</v>
      </c>
      <c r="C340" s="6179" t="s">
        <v>2749</v>
      </c>
      <c r="D340" s="6179" t="s">
        <v>2747</v>
      </c>
      <c r="E340" s="6179" t="s">
        <v>2748</v>
      </c>
      <c r="F340" s="6179" t="s">
        <v>2750</v>
      </c>
      <c r="G340" s="6179" t="s">
        <v>28</v>
      </c>
      <c r="H340" s="6179" t="s">
        <v>28</v>
      </c>
      <c r="I340" s="6179" t="s">
        <v>915</v>
      </c>
    </row>
    <row customHeight="1" ht="11.25">
      <c r="A341" s="6179" t="s">
        <v>2262</v>
      </c>
      <c r="B341" s="6179" t="s">
        <v>16</v>
      </c>
      <c r="C341" s="6179" t="s">
        <v>2751</v>
      </c>
      <c r="D341" s="6179" t="s">
        <v>2709</v>
      </c>
      <c r="E341" s="6179" t="s">
        <v>2409</v>
      </c>
      <c r="F341" s="6179" t="s">
        <v>2752</v>
      </c>
      <c r="G341" s="6179" t="s">
        <v>28</v>
      </c>
      <c r="H341" s="6179" t="s">
        <v>28</v>
      </c>
      <c r="I341" s="6179" t="s">
        <v>915</v>
      </c>
    </row>
    <row customHeight="1" ht="11.25">
      <c r="A342" s="6179" t="s">
        <v>2262</v>
      </c>
      <c r="B342" s="6179" t="s">
        <v>16</v>
      </c>
      <c r="C342" s="6179" t="s">
        <v>2708</v>
      </c>
      <c r="D342" s="6179" t="s">
        <v>2709</v>
      </c>
      <c r="E342" s="6179" t="s">
        <v>2409</v>
      </c>
      <c r="F342" s="6179" t="s">
        <v>2710</v>
      </c>
      <c r="G342" s="6179" t="s">
        <v>28</v>
      </c>
      <c r="H342" s="6179" t="s">
        <v>28</v>
      </c>
      <c r="I342" s="6179" t="s">
        <v>915</v>
      </c>
    </row>
    <row customHeight="1" ht="11.25">
      <c r="A343" s="6179" t="s">
        <v>2262</v>
      </c>
      <c r="B343" s="6179" t="s">
        <v>16</v>
      </c>
      <c r="C343" s="6179" t="s">
        <v>3013</v>
      </c>
      <c r="D343" s="6179" t="s">
        <v>3014</v>
      </c>
      <c r="E343" s="6179" t="s">
        <v>3015</v>
      </c>
      <c r="F343" s="6179" t="s">
        <v>2524</v>
      </c>
      <c r="G343" s="6179" t="s">
        <v>3016</v>
      </c>
      <c r="H343" s="6179" t="s">
        <v>28</v>
      </c>
      <c r="I343" s="6179" t="s">
        <v>915</v>
      </c>
    </row>
    <row customHeight="1" ht="11.25">
      <c r="A344" s="6179" t="s">
        <v>2262</v>
      </c>
      <c r="B344" s="6179" t="s">
        <v>16</v>
      </c>
      <c r="C344" s="6179" t="s">
        <v>2756</v>
      </c>
      <c r="D344" s="6179" t="s">
        <v>2757</v>
      </c>
      <c r="E344" s="6179" t="s">
        <v>2758</v>
      </c>
      <c r="F344" s="6179" t="s">
        <v>2494</v>
      </c>
      <c r="G344" s="6179" t="s">
        <v>28</v>
      </c>
      <c r="H344" s="6179" t="s">
        <v>28</v>
      </c>
      <c r="I344" s="6179" t="s">
        <v>915</v>
      </c>
    </row>
    <row customHeight="1" ht="11.25">
      <c r="A345" s="6179" t="s">
        <v>2262</v>
      </c>
      <c r="B345" s="6179" t="s">
        <v>16</v>
      </c>
      <c r="C345" s="6179" t="s">
        <v>2759</v>
      </c>
      <c r="D345" s="6179" t="s">
        <v>2760</v>
      </c>
      <c r="E345" s="6179" t="s">
        <v>2761</v>
      </c>
      <c r="F345" s="6179" t="s">
        <v>2603</v>
      </c>
      <c r="G345" s="6179" t="s">
        <v>28</v>
      </c>
      <c r="H345" s="6179" t="s">
        <v>28</v>
      </c>
      <c r="I345" s="6179" t="s">
        <v>915</v>
      </c>
    </row>
    <row customHeight="1" ht="11.25">
      <c r="A346" s="6179" t="s">
        <v>2262</v>
      </c>
      <c r="B346" s="6179" t="s">
        <v>16</v>
      </c>
      <c r="C346" s="6179" t="s">
        <v>2762</v>
      </c>
      <c r="D346" s="6179" t="s">
        <v>2763</v>
      </c>
      <c r="E346" s="6179" t="s">
        <v>2764</v>
      </c>
      <c r="F346" s="6179" t="s">
        <v>2322</v>
      </c>
      <c r="G346" s="6179" t="s">
        <v>28</v>
      </c>
      <c r="H346" s="6179" t="s">
        <v>28</v>
      </c>
      <c r="I346" s="6179" t="s">
        <v>915</v>
      </c>
    </row>
    <row customHeight="1" ht="11.25">
      <c r="A347" s="6179" t="s">
        <v>2262</v>
      </c>
      <c r="B347" s="6179" t="s">
        <v>16</v>
      </c>
      <c r="C347" s="6179" t="s">
        <v>2765</v>
      </c>
      <c r="D347" s="6179" t="s">
        <v>2766</v>
      </c>
      <c r="E347" s="6179" t="s">
        <v>2767</v>
      </c>
      <c r="F347" s="6179" t="s">
        <v>2417</v>
      </c>
      <c r="G347" s="6179" t="s">
        <v>28</v>
      </c>
      <c r="H347" s="6179" t="s">
        <v>28</v>
      </c>
      <c r="I347" s="6179" t="s">
        <v>915</v>
      </c>
    </row>
    <row customHeight="1" ht="11.25">
      <c r="A348" s="6179" t="s">
        <v>2262</v>
      </c>
      <c r="B348" s="6179" t="s">
        <v>16</v>
      </c>
      <c r="C348" s="6179" t="s">
        <v>2772</v>
      </c>
      <c r="D348" s="6179" t="s">
        <v>2773</v>
      </c>
      <c r="E348" s="6179" t="s">
        <v>2774</v>
      </c>
      <c r="F348" s="6179" t="s">
        <v>2322</v>
      </c>
      <c r="G348" s="6179" t="s">
        <v>28</v>
      </c>
      <c r="H348" s="6179" t="s">
        <v>28</v>
      </c>
      <c r="I348" s="6179" t="s">
        <v>915</v>
      </c>
    </row>
    <row customHeight="1" ht="11.25">
      <c r="A349" s="6179" t="s">
        <v>2262</v>
      </c>
      <c r="B349" s="6179" t="s">
        <v>16</v>
      </c>
      <c r="C349" s="6179" t="s">
        <v>2414</v>
      </c>
      <c r="D349" s="6179" t="s">
        <v>2415</v>
      </c>
      <c r="E349" s="6179" t="s">
        <v>2416</v>
      </c>
      <c r="F349" s="6179" t="s">
        <v>2417</v>
      </c>
      <c r="G349" s="6179" t="s">
        <v>28</v>
      </c>
      <c r="H349" s="6179" t="s">
        <v>28</v>
      </c>
      <c r="I349" s="6179" t="s">
        <v>915</v>
      </c>
    </row>
    <row customHeight="1" ht="11.25">
      <c r="A350" s="6179" t="s">
        <v>2262</v>
      </c>
      <c r="B350" s="6179" t="s">
        <v>16</v>
      </c>
      <c r="C350" s="6179" t="s">
        <v>2775</v>
      </c>
      <c r="D350" s="6179" t="s">
        <v>2776</v>
      </c>
      <c r="E350" s="6179" t="s">
        <v>2777</v>
      </c>
      <c r="F350" s="6179" t="s">
        <v>2435</v>
      </c>
      <c r="G350" s="6179" t="s">
        <v>2778</v>
      </c>
      <c r="H350" s="6179" t="s">
        <v>28</v>
      </c>
      <c r="I350" s="6179" t="s">
        <v>915</v>
      </c>
    </row>
    <row customHeight="1" ht="11.25">
      <c r="A351" s="6179" t="s">
        <v>2262</v>
      </c>
      <c r="B351" s="6179" t="s">
        <v>16</v>
      </c>
      <c r="C351" s="6179" t="s">
        <v>2779</v>
      </c>
      <c r="D351" s="6179" t="s">
        <v>2780</v>
      </c>
      <c r="E351" s="6179" t="s">
        <v>2781</v>
      </c>
      <c r="F351" s="6179" t="s">
        <v>2782</v>
      </c>
      <c r="G351" s="6179" t="s">
        <v>28</v>
      </c>
      <c r="H351" s="6179" t="s">
        <v>28</v>
      </c>
      <c r="I351" s="6179" t="s">
        <v>915</v>
      </c>
    </row>
    <row customHeight="1" ht="11.25">
      <c r="A352" s="6179" t="s">
        <v>2262</v>
      </c>
      <c r="B352" s="6179" t="s">
        <v>16</v>
      </c>
      <c r="C352" s="6179" t="s">
        <v>2783</v>
      </c>
      <c r="D352" s="6179" t="s">
        <v>2784</v>
      </c>
      <c r="E352" s="6179" t="s">
        <v>2785</v>
      </c>
      <c r="F352" s="6179" t="s">
        <v>2435</v>
      </c>
      <c r="G352" s="6179" t="s">
        <v>28</v>
      </c>
      <c r="H352" s="6179" t="s">
        <v>28</v>
      </c>
      <c r="I352" s="6179" t="s">
        <v>915</v>
      </c>
    </row>
    <row customHeight="1" ht="11.25">
      <c r="A353" s="6179" t="s">
        <v>2262</v>
      </c>
      <c r="B353" s="6179" t="s">
        <v>16</v>
      </c>
      <c r="C353" s="6179" t="s">
        <v>2786</v>
      </c>
      <c r="D353" s="6179" t="s">
        <v>2787</v>
      </c>
      <c r="E353" s="6179" t="s">
        <v>2788</v>
      </c>
      <c r="F353" s="6179" t="s">
        <v>52</v>
      </c>
      <c r="G353" s="6179" t="s">
        <v>2789</v>
      </c>
      <c r="H353" s="6179" t="s">
        <v>28</v>
      </c>
      <c r="I353" s="6179" t="s">
        <v>915</v>
      </c>
    </row>
    <row customHeight="1" ht="11.25">
      <c r="A354" s="6179" t="s">
        <v>2262</v>
      </c>
      <c r="B354" s="6179" t="s">
        <v>16</v>
      </c>
      <c r="C354" s="6179" t="s">
        <v>2790</v>
      </c>
      <c r="D354" s="6179" t="s">
        <v>2791</v>
      </c>
      <c r="E354" s="6179" t="s">
        <v>2792</v>
      </c>
      <c r="F354" s="6179" t="s">
        <v>52</v>
      </c>
      <c r="G354" s="6179" t="s">
        <v>2793</v>
      </c>
      <c r="H354" s="6179" t="s">
        <v>28</v>
      </c>
      <c r="I354" s="6179" t="s">
        <v>915</v>
      </c>
    </row>
    <row customHeight="1" ht="11.25">
      <c r="A355" s="6179" t="s">
        <v>2262</v>
      </c>
      <c r="B355" s="6179" t="s">
        <v>16</v>
      </c>
      <c r="C355" s="6179" t="s">
        <v>2421</v>
      </c>
      <c r="D355" s="6179" t="s">
        <v>2422</v>
      </c>
      <c r="E355" s="6179" t="s">
        <v>2423</v>
      </c>
      <c r="F355" s="6179" t="s">
        <v>2424</v>
      </c>
      <c r="G355" s="6179" t="s">
        <v>28</v>
      </c>
      <c r="H355" s="6179" t="s">
        <v>28</v>
      </c>
      <c r="I355" s="6179" t="s">
        <v>915</v>
      </c>
    </row>
    <row customHeight="1" ht="11.25">
      <c r="A356" s="6179" t="s">
        <v>2262</v>
      </c>
      <c r="B356" s="6179" t="s">
        <v>16</v>
      </c>
      <c r="C356" s="6179" t="s">
        <v>3017</v>
      </c>
      <c r="D356" s="6179" t="s">
        <v>3018</v>
      </c>
      <c r="E356" s="6179" t="s">
        <v>3019</v>
      </c>
      <c r="F356" s="6179" t="s">
        <v>2435</v>
      </c>
      <c r="G356" s="6179" t="s">
        <v>28</v>
      </c>
      <c r="H356" s="6179" t="s">
        <v>28</v>
      </c>
      <c r="I356" s="6179" t="s">
        <v>915</v>
      </c>
    </row>
    <row customHeight="1" ht="11.25">
      <c r="A357" s="6179" t="s">
        <v>2262</v>
      </c>
      <c r="B357" s="6179" t="s">
        <v>16</v>
      </c>
      <c r="C357" s="6179" t="s">
        <v>2425</v>
      </c>
      <c r="D357" s="6179" t="s">
        <v>2426</v>
      </c>
      <c r="E357" s="6179" t="s">
        <v>2427</v>
      </c>
      <c r="F357" s="6179" t="s">
        <v>2428</v>
      </c>
      <c r="G357" s="6179" t="s">
        <v>28</v>
      </c>
      <c r="H357" s="6179" t="s">
        <v>28</v>
      </c>
      <c r="I357" s="6179" t="s">
        <v>915</v>
      </c>
    </row>
    <row customHeight="1" ht="11.25">
      <c r="A358" s="6179" t="s">
        <v>2262</v>
      </c>
      <c r="B358" s="6179" t="s">
        <v>16</v>
      </c>
      <c r="C358" s="6179" t="s">
        <v>2429</v>
      </c>
      <c r="D358" s="6179" t="s">
        <v>2430</v>
      </c>
      <c r="E358" s="6179" t="s">
        <v>2431</v>
      </c>
      <c r="F358" s="6179" t="s">
        <v>2428</v>
      </c>
      <c r="G358" s="6179" t="s">
        <v>28</v>
      </c>
      <c r="H358" s="6179" t="s">
        <v>28</v>
      </c>
      <c r="I358" s="6179" t="s">
        <v>915</v>
      </c>
    </row>
    <row customHeight="1" ht="11.25">
      <c r="A359" s="6179" t="s">
        <v>2262</v>
      </c>
      <c r="B359" s="6179" t="s">
        <v>16</v>
      </c>
      <c r="C359" s="6179" t="s">
        <v>2432</v>
      </c>
      <c r="D359" s="6179" t="s">
        <v>2433</v>
      </c>
      <c r="E359" s="6179" t="s">
        <v>2434</v>
      </c>
      <c r="F359" s="6179" t="s">
        <v>2435</v>
      </c>
      <c r="G359" s="6179" t="s">
        <v>28</v>
      </c>
      <c r="H359" s="6179" t="s">
        <v>28</v>
      </c>
      <c r="I359" s="6179" t="s">
        <v>915</v>
      </c>
    </row>
    <row customHeight="1" ht="11.25">
      <c r="A360" s="6179" t="s">
        <v>2262</v>
      </c>
      <c r="B360" s="6179" t="s">
        <v>16</v>
      </c>
      <c r="C360" s="6179" t="s">
        <v>2794</v>
      </c>
      <c r="D360" s="6179" t="s">
        <v>2795</v>
      </c>
      <c r="E360" s="6179" t="s">
        <v>2796</v>
      </c>
      <c r="F360" s="6179" t="s">
        <v>2367</v>
      </c>
      <c r="G360" s="6179" t="s">
        <v>28</v>
      </c>
      <c r="H360" s="6179" t="s">
        <v>28</v>
      </c>
      <c r="I360" s="6179" t="s">
        <v>915</v>
      </c>
    </row>
    <row customHeight="1" ht="11.25">
      <c r="A361" s="6179" t="s">
        <v>2262</v>
      </c>
      <c r="B361" s="6179" t="s">
        <v>16</v>
      </c>
      <c r="C361" s="6179" t="s">
        <v>2797</v>
      </c>
      <c r="D361" s="6179" t="s">
        <v>2798</v>
      </c>
      <c r="E361" s="6179" t="s">
        <v>2799</v>
      </c>
      <c r="F361" s="6179" t="s">
        <v>2330</v>
      </c>
      <c r="G361" s="6179" t="s">
        <v>2800</v>
      </c>
      <c r="H361" s="6179" t="s">
        <v>28</v>
      </c>
      <c r="I361" s="6179" t="s">
        <v>915</v>
      </c>
    </row>
    <row customHeight="1" ht="11.25">
      <c r="A362" s="6179" t="s">
        <v>2262</v>
      </c>
      <c r="B362" s="6179" t="s">
        <v>16</v>
      </c>
      <c r="C362" s="6179" t="s">
        <v>2801</v>
      </c>
      <c r="D362" s="6179" t="s">
        <v>2802</v>
      </c>
      <c r="E362" s="6179" t="s">
        <v>2803</v>
      </c>
      <c r="F362" s="6179" t="s">
        <v>2388</v>
      </c>
      <c r="G362" s="6179" t="s">
        <v>2804</v>
      </c>
      <c r="H362" s="6179" t="s">
        <v>28</v>
      </c>
      <c r="I362" s="6179" t="s">
        <v>915</v>
      </c>
    </row>
    <row customHeight="1" ht="11.25">
      <c r="A363" s="6179" t="s">
        <v>2262</v>
      </c>
      <c r="B363" s="6179" t="s">
        <v>16</v>
      </c>
      <c r="C363" s="6179" t="s">
        <v>13</v>
      </c>
      <c r="D363" s="6179" t="s">
        <v>47</v>
      </c>
      <c r="E363" s="6179" t="s">
        <v>50</v>
      </c>
      <c r="F363" s="6179" t="s">
        <v>52</v>
      </c>
      <c r="G363" s="6179" t="s">
        <v>28</v>
      </c>
      <c r="H363" s="6179" t="s">
        <v>28</v>
      </c>
      <c r="I363" s="6179" t="s">
        <v>915</v>
      </c>
    </row>
    <row customHeight="1" ht="11.25">
      <c r="A364" s="6179" t="s">
        <v>2262</v>
      </c>
      <c r="B364" s="6179" t="s">
        <v>16</v>
      </c>
      <c r="C364" s="6179" t="s">
        <v>2805</v>
      </c>
      <c r="D364" s="6179" t="s">
        <v>2806</v>
      </c>
      <c r="E364" s="6179" t="s">
        <v>2807</v>
      </c>
      <c r="F364" s="6179" t="s">
        <v>2771</v>
      </c>
      <c r="G364" s="6179" t="s">
        <v>28</v>
      </c>
      <c r="H364" s="6179" t="s">
        <v>28</v>
      </c>
      <c r="I364" s="6179" t="s">
        <v>915</v>
      </c>
    </row>
    <row customHeight="1" ht="11.25">
      <c r="A365" s="6179" t="s">
        <v>2262</v>
      </c>
      <c r="B365" s="6179" t="s">
        <v>16</v>
      </c>
      <c r="C365" s="6179" t="s">
        <v>2436</v>
      </c>
      <c r="D365" s="6179" t="s">
        <v>2437</v>
      </c>
      <c r="E365" s="6179" t="s">
        <v>2438</v>
      </c>
      <c r="F365" s="6179" t="s">
        <v>2424</v>
      </c>
      <c r="G365" s="6179" t="s">
        <v>28</v>
      </c>
      <c r="H365" s="6179" t="s">
        <v>28</v>
      </c>
      <c r="I365" s="6179" t="s">
        <v>915</v>
      </c>
    </row>
    <row customHeight="1" ht="11.25">
      <c r="A366" s="6179" t="s">
        <v>2262</v>
      </c>
      <c r="B366" s="6179" t="s">
        <v>16</v>
      </c>
      <c r="C366" s="6179" t="s">
        <v>2808</v>
      </c>
      <c r="D366" s="6179" t="s">
        <v>2809</v>
      </c>
      <c r="E366" s="6179" t="s">
        <v>2810</v>
      </c>
      <c r="F366" s="6179" t="s">
        <v>2330</v>
      </c>
      <c r="G366" s="6179" t="s">
        <v>28</v>
      </c>
      <c r="H366" s="6179" t="s">
        <v>28</v>
      </c>
      <c r="I366" s="6179" t="s">
        <v>915</v>
      </c>
    </row>
    <row customHeight="1" ht="11.25">
      <c r="A367" s="6179" t="s">
        <v>2262</v>
      </c>
      <c r="B367" s="6179" t="s">
        <v>16</v>
      </c>
      <c r="C367" s="6179" t="s">
        <v>2811</v>
      </c>
      <c r="D367" s="6179" t="s">
        <v>2812</v>
      </c>
      <c r="E367" s="6179" t="s">
        <v>2813</v>
      </c>
      <c r="F367" s="6179" t="s">
        <v>2685</v>
      </c>
      <c r="G367" s="6179" t="s">
        <v>28</v>
      </c>
      <c r="H367" s="6179" t="s">
        <v>28</v>
      </c>
      <c r="I367" s="6179" t="s">
        <v>915</v>
      </c>
    </row>
    <row customHeight="1" ht="11.25">
      <c r="A368" s="6179" t="s">
        <v>2262</v>
      </c>
      <c r="B368" s="6179" t="s">
        <v>16</v>
      </c>
      <c r="C368" s="6179" t="s">
        <v>2814</v>
      </c>
      <c r="D368" s="6179" t="s">
        <v>2815</v>
      </c>
      <c r="E368" s="6179" t="s">
        <v>2816</v>
      </c>
      <c r="F368" s="6179" t="s">
        <v>2269</v>
      </c>
      <c r="G368" s="6179" t="s">
        <v>28</v>
      </c>
      <c r="H368" s="6179" t="s">
        <v>28</v>
      </c>
      <c r="I368" s="6179" t="s">
        <v>915</v>
      </c>
    </row>
    <row customHeight="1" ht="11.25">
      <c r="A369" s="6179" t="s">
        <v>2262</v>
      </c>
      <c r="B369" s="6179" t="s">
        <v>16</v>
      </c>
      <c r="C369" s="6179" t="s">
        <v>2439</v>
      </c>
      <c r="D369" s="6179" t="s">
        <v>2440</v>
      </c>
      <c r="E369" s="6179" t="s">
        <v>2441</v>
      </c>
      <c r="F369" s="6179" t="s">
        <v>2442</v>
      </c>
      <c r="G369" s="6179" t="s">
        <v>28</v>
      </c>
      <c r="H369" s="6179" t="s">
        <v>28</v>
      </c>
      <c r="I369" s="6179" t="s">
        <v>915</v>
      </c>
    </row>
    <row customHeight="1" ht="11.25">
      <c r="A370" s="6179" t="s">
        <v>2262</v>
      </c>
      <c r="B370" s="6179" t="s">
        <v>16</v>
      </c>
      <c r="C370" s="6179" t="s">
        <v>2817</v>
      </c>
      <c r="D370" s="6179" t="s">
        <v>2818</v>
      </c>
      <c r="E370" s="6179" t="s">
        <v>2819</v>
      </c>
      <c r="F370" s="6179" t="s">
        <v>2685</v>
      </c>
      <c r="G370" s="6179" t="s">
        <v>28</v>
      </c>
      <c r="H370" s="6179" t="s">
        <v>28</v>
      </c>
      <c r="I370" s="6179" t="s">
        <v>915</v>
      </c>
    </row>
    <row customHeight="1" ht="11.25">
      <c r="A371" s="6179" t="s">
        <v>2262</v>
      </c>
      <c r="B371" s="6179" t="s">
        <v>16</v>
      </c>
      <c r="C371" s="6179" t="s">
        <v>2443</v>
      </c>
      <c r="D371" s="6179" t="s">
        <v>2444</v>
      </c>
      <c r="E371" s="6179" t="s">
        <v>2445</v>
      </c>
      <c r="F371" s="6179" t="s">
        <v>2406</v>
      </c>
      <c r="G371" s="6179" t="s">
        <v>28</v>
      </c>
      <c r="H371" s="6179" t="s">
        <v>28</v>
      </c>
      <c r="I371" s="6179" t="s">
        <v>915</v>
      </c>
    </row>
    <row customHeight="1" ht="11.25">
      <c r="A372" s="6179" t="s">
        <v>2262</v>
      </c>
      <c r="B372" s="6179" t="s">
        <v>16</v>
      </c>
      <c r="C372" s="6179" t="s">
        <v>2453</v>
      </c>
      <c r="D372" s="6179" t="s">
        <v>2454</v>
      </c>
      <c r="E372" s="6179" t="s">
        <v>2455</v>
      </c>
      <c r="F372" s="6179" t="s">
        <v>2456</v>
      </c>
      <c r="G372" s="6179" t="s">
        <v>28</v>
      </c>
      <c r="H372" s="6179" t="s">
        <v>28</v>
      </c>
      <c r="I372" s="6179" t="s">
        <v>915</v>
      </c>
    </row>
    <row customHeight="1" ht="11.25">
      <c r="A373" s="6179" t="s">
        <v>2262</v>
      </c>
      <c r="B373" s="6179" t="s">
        <v>16</v>
      </c>
      <c r="C373" s="6179" t="s">
        <v>3020</v>
      </c>
      <c r="D373" s="6179" t="s">
        <v>3021</v>
      </c>
      <c r="E373" s="6179" t="s">
        <v>3022</v>
      </c>
      <c r="F373" s="6179" t="s">
        <v>2322</v>
      </c>
      <c r="G373" s="6179" t="s">
        <v>28</v>
      </c>
      <c r="H373" s="6179" t="s">
        <v>28</v>
      </c>
      <c r="I373" s="6179" t="s">
        <v>915</v>
      </c>
    </row>
    <row customHeight="1" ht="11.25">
      <c r="A374" s="6179" t="s">
        <v>2262</v>
      </c>
      <c r="B374" s="6179" t="s">
        <v>16</v>
      </c>
      <c r="C374" s="6179" t="s">
        <v>2476</v>
      </c>
      <c r="D374" s="6179" t="s">
        <v>2477</v>
      </c>
      <c r="E374" s="6179" t="s">
        <v>2478</v>
      </c>
      <c r="F374" s="6179" t="s">
        <v>2428</v>
      </c>
      <c r="G374" s="6179" t="s">
        <v>28</v>
      </c>
      <c r="H374" s="6179" t="s">
        <v>28</v>
      </c>
      <c r="I374" s="6179" t="s">
        <v>915</v>
      </c>
    </row>
    <row customHeight="1" ht="11.25">
      <c r="A375" s="6179" t="s">
        <v>2262</v>
      </c>
      <c r="B375" s="6179" t="s">
        <v>16</v>
      </c>
      <c r="C375" s="6179" t="s">
        <v>2826</v>
      </c>
      <c r="D375" s="6179" t="s">
        <v>2827</v>
      </c>
      <c r="E375" s="6179" t="s">
        <v>2828</v>
      </c>
      <c r="F375" s="6179" t="s">
        <v>52</v>
      </c>
      <c r="G375" s="6179" t="s">
        <v>2829</v>
      </c>
      <c r="H375" s="6179" t="s">
        <v>28</v>
      </c>
      <c r="I375" s="6179" t="s">
        <v>915</v>
      </c>
    </row>
    <row customHeight="1" ht="11.25">
      <c r="A376" s="6179" t="s">
        <v>2262</v>
      </c>
      <c r="B376" s="6179" t="s">
        <v>16</v>
      </c>
      <c r="C376" s="6179" t="s">
        <v>2830</v>
      </c>
      <c r="D376" s="6179" t="s">
        <v>2831</v>
      </c>
      <c r="E376" s="6179" t="s">
        <v>2832</v>
      </c>
      <c r="F376" s="6179" t="s">
        <v>2313</v>
      </c>
      <c r="G376" s="6179" t="s">
        <v>2833</v>
      </c>
      <c r="H376" s="6179" t="s">
        <v>28</v>
      </c>
      <c r="I376" s="6179" t="s">
        <v>915</v>
      </c>
    </row>
    <row customHeight="1" ht="11.25">
      <c r="A377" s="6179" t="s">
        <v>2262</v>
      </c>
      <c r="B377" s="6179" t="s">
        <v>16</v>
      </c>
      <c r="C377" s="6179" t="s">
        <v>2834</v>
      </c>
      <c r="D377" s="6179" t="s">
        <v>2835</v>
      </c>
      <c r="E377" s="6179" t="s">
        <v>2836</v>
      </c>
      <c r="F377" s="6179" t="s">
        <v>2582</v>
      </c>
      <c r="G377" s="6179" t="s">
        <v>2837</v>
      </c>
      <c r="H377" s="6179" t="s">
        <v>28</v>
      </c>
      <c r="I377" s="6179" t="s">
        <v>915</v>
      </c>
    </row>
    <row customHeight="1" ht="11.25">
      <c r="A378" s="6179" t="s">
        <v>2262</v>
      </c>
      <c r="B378" s="6179" t="s">
        <v>16</v>
      </c>
      <c r="C378" s="6179" t="s">
        <v>2838</v>
      </c>
      <c r="D378" s="6179" t="s">
        <v>2839</v>
      </c>
      <c r="E378" s="6179" t="s">
        <v>2840</v>
      </c>
      <c r="F378" s="6179" t="s">
        <v>2841</v>
      </c>
      <c r="G378" s="6179" t="s">
        <v>28</v>
      </c>
      <c r="H378" s="6179" t="s">
        <v>28</v>
      </c>
      <c r="I378" s="6179" t="s">
        <v>915</v>
      </c>
    </row>
    <row customHeight="1" ht="11.25">
      <c r="A379" s="6179" t="s">
        <v>2262</v>
      </c>
      <c r="B379" s="6179" t="s">
        <v>16</v>
      </c>
      <c r="C379" s="6179" t="s">
        <v>2846</v>
      </c>
      <c r="D379" s="6179" t="s">
        <v>2847</v>
      </c>
      <c r="E379" s="6179" t="s">
        <v>2848</v>
      </c>
      <c r="F379" s="6179" t="s">
        <v>2294</v>
      </c>
      <c r="G379" s="6179" t="s">
        <v>28</v>
      </c>
      <c r="H379" s="6179" t="s">
        <v>28</v>
      </c>
      <c r="I379" s="6179" t="s">
        <v>915</v>
      </c>
    </row>
    <row customHeight="1" ht="11.25">
      <c r="A380" s="6179" t="s">
        <v>2262</v>
      </c>
      <c r="B380" s="6179" t="s">
        <v>16</v>
      </c>
      <c r="C380" s="6179" t="s">
        <v>2849</v>
      </c>
      <c r="D380" s="6179" t="s">
        <v>2850</v>
      </c>
      <c r="E380" s="6179" t="s">
        <v>2851</v>
      </c>
      <c r="F380" s="6179" t="s">
        <v>2852</v>
      </c>
      <c r="G380" s="6179" t="s">
        <v>28</v>
      </c>
      <c r="H380" s="6179" t="s">
        <v>28</v>
      </c>
      <c r="I380" s="6179" t="s">
        <v>915</v>
      </c>
    </row>
    <row customHeight="1" ht="11.25">
      <c r="A381" s="6179" t="s">
        <v>2262</v>
      </c>
      <c r="B381" s="6179" t="s">
        <v>16</v>
      </c>
      <c r="C381" s="6179" t="s">
        <v>2853</v>
      </c>
      <c r="D381" s="6179" t="s">
        <v>2854</v>
      </c>
      <c r="E381" s="6179" t="s">
        <v>2855</v>
      </c>
      <c r="F381" s="6179" t="s">
        <v>2659</v>
      </c>
      <c r="G381" s="6179" t="s">
        <v>28</v>
      </c>
      <c r="H381" s="6179" t="s">
        <v>28</v>
      </c>
      <c r="I381" s="6179" t="s">
        <v>915</v>
      </c>
    </row>
    <row customHeight="1" ht="11.25">
      <c r="A382" s="6179" t="s">
        <v>2262</v>
      </c>
      <c r="B382" s="6179" t="s">
        <v>16</v>
      </c>
      <c r="C382" s="6179" t="s">
        <v>3023</v>
      </c>
      <c r="D382" s="6179" t="s">
        <v>3024</v>
      </c>
      <c r="E382" s="6179" t="s">
        <v>3025</v>
      </c>
      <c r="F382" s="6179" t="s">
        <v>2273</v>
      </c>
      <c r="G382" s="6179" t="s">
        <v>2845</v>
      </c>
      <c r="H382" s="6179" t="s">
        <v>28</v>
      </c>
      <c r="I382" s="6179" t="s">
        <v>915</v>
      </c>
    </row>
    <row customHeight="1" ht="11.25">
      <c r="A383" s="6179" t="s">
        <v>2262</v>
      </c>
      <c r="B383" s="6179" t="s">
        <v>16</v>
      </c>
      <c r="C383" s="6179" t="s">
        <v>3026</v>
      </c>
      <c r="D383" s="6179" t="s">
        <v>3024</v>
      </c>
      <c r="E383" s="6179" t="s">
        <v>3027</v>
      </c>
      <c r="F383" s="6179" t="s">
        <v>2685</v>
      </c>
      <c r="G383" s="6179" t="s">
        <v>2859</v>
      </c>
      <c r="H383" s="6179" t="s">
        <v>28</v>
      </c>
      <c r="I383" s="6179" t="s">
        <v>915</v>
      </c>
    </row>
    <row customHeight="1" ht="11.25">
      <c r="A384" s="6179" t="s">
        <v>2262</v>
      </c>
      <c r="B384" s="6179" t="s">
        <v>16</v>
      </c>
      <c r="C384" s="6179" t="s">
        <v>2491</v>
      </c>
      <c r="D384" s="6179" t="s">
        <v>2492</v>
      </c>
      <c r="E384" s="6179" t="s">
        <v>2493</v>
      </c>
      <c r="F384" s="6179" t="s">
        <v>2494</v>
      </c>
      <c r="G384" s="6179" t="s">
        <v>2495</v>
      </c>
      <c r="H384" s="6179" t="s">
        <v>28</v>
      </c>
      <c r="I384" s="6179" t="s">
        <v>915</v>
      </c>
    </row>
    <row customHeight="1" ht="11.25">
      <c r="A385" s="6179" t="s">
        <v>2262</v>
      </c>
      <c r="B385" s="6179" t="s">
        <v>16</v>
      </c>
      <c r="C385" s="6179" t="s">
        <v>2860</v>
      </c>
      <c r="D385" s="6179" t="s">
        <v>2861</v>
      </c>
      <c r="E385" s="6179" t="s">
        <v>2862</v>
      </c>
      <c r="F385" s="6179" t="s">
        <v>52</v>
      </c>
      <c r="G385" s="6179" t="s">
        <v>28</v>
      </c>
      <c r="H385" s="6179" t="s">
        <v>28</v>
      </c>
      <c r="I385" s="6179" t="s">
        <v>915</v>
      </c>
    </row>
    <row customHeight="1" ht="11.25">
      <c r="A386" s="6179" t="s">
        <v>2262</v>
      </c>
      <c r="B386" s="6179" t="s">
        <v>16</v>
      </c>
      <c r="C386" s="6179" t="s">
        <v>3028</v>
      </c>
      <c r="D386" s="6179" t="s">
        <v>3029</v>
      </c>
      <c r="E386" s="6179" t="s">
        <v>3030</v>
      </c>
      <c r="F386" s="6179" t="s">
        <v>2269</v>
      </c>
      <c r="G386" s="6179" t="s">
        <v>28</v>
      </c>
      <c r="H386" s="6179" t="s">
        <v>28</v>
      </c>
      <c r="I386" s="6179" t="s">
        <v>915</v>
      </c>
    </row>
    <row customHeight="1" ht="11.25">
      <c r="A387" s="6179" t="s">
        <v>2262</v>
      </c>
      <c r="B387" s="6179" t="s">
        <v>16</v>
      </c>
      <c r="C387" s="6179" t="s">
        <v>2866</v>
      </c>
      <c r="D387" s="6179" t="s">
        <v>2867</v>
      </c>
      <c r="E387" s="6179" t="s">
        <v>2868</v>
      </c>
      <c r="F387" s="6179" t="s">
        <v>2265</v>
      </c>
      <c r="G387" s="6179" t="s">
        <v>28</v>
      </c>
      <c r="H387" s="6179" t="s">
        <v>28</v>
      </c>
      <c r="I387" s="6179" t="s">
        <v>915</v>
      </c>
    </row>
    <row customHeight="1" ht="11.25">
      <c r="A388" s="6179" t="s">
        <v>2262</v>
      </c>
      <c r="B388" s="6179" t="s">
        <v>16</v>
      </c>
      <c r="C388" s="6179" t="s">
        <v>2869</v>
      </c>
      <c r="D388" s="6179" t="s">
        <v>2870</v>
      </c>
      <c r="E388" s="6179" t="s">
        <v>2871</v>
      </c>
      <c r="F388" s="6179" t="s">
        <v>2269</v>
      </c>
      <c r="G388" s="6179" t="s">
        <v>28</v>
      </c>
      <c r="H388" s="6179" t="s">
        <v>28</v>
      </c>
      <c r="I388" s="6179" t="s">
        <v>915</v>
      </c>
    </row>
    <row customHeight="1" ht="11.25">
      <c r="A389" s="6179" t="s">
        <v>2262</v>
      </c>
      <c r="B389" s="6179" t="s">
        <v>16</v>
      </c>
      <c r="C389" s="6179" t="s">
        <v>2508</v>
      </c>
      <c r="D389" s="6179" t="s">
        <v>2509</v>
      </c>
      <c r="E389" s="6179" t="s">
        <v>2510</v>
      </c>
      <c r="F389" s="6179" t="s">
        <v>2494</v>
      </c>
      <c r="G389" s="6179" t="s">
        <v>28</v>
      </c>
      <c r="H389" s="6179" t="s">
        <v>28</v>
      </c>
      <c r="I389" s="6179" t="s">
        <v>915</v>
      </c>
    </row>
    <row customHeight="1" ht="11.25">
      <c r="A390" s="6179" t="s">
        <v>2262</v>
      </c>
      <c r="B390" s="6179" t="s">
        <v>16</v>
      </c>
      <c r="C390" s="6179" t="s">
        <v>2514</v>
      </c>
      <c r="D390" s="6179" t="s">
        <v>2515</v>
      </c>
      <c r="E390" s="6179" t="s">
        <v>2516</v>
      </c>
      <c r="F390" s="6179" t="s">
        <v>2494</v>
      </c>
      <c r="G390" s="6179" t="s">
        <v>28</v>
      </c>
      <c r="H390" s="6179" t="s">
        <v>28</v>
      </c>
      <c r="I390" s="6179" t="s">
        <v>915</v>
      </c>
    </row>
    <row customHeight="1" ht="11.25">
      <c r="A391" s="6179" t="s">
        <v>2262</v>
      </c>
      <c r="B391" s="6179" t="s">
        <v>16</v>
      </c>
      <c r="C391" s="6179" t="s">
        <v>2872</v>
      </c>
      <c r="D391" s="6179" t="s">
        <v>2873</v>
      </c>
      <c r="E391" s="6179" t="s">
        <v>2874</v>
      </c>
      <c r="F391" s="6179" t="s">
        <v>2494</v>
      </c>
      <c r="G391" s="6179" t="s">
        <v>28</v>
      </c>
      <c r="H391" s="6179" t="s">
        <v>28</v>
      </c>
      <c r="I391" s="6179" t="s">
        <v>915</v>
      </c>
    </row>
    <row customHeight="1" ht="11.25">
      <c r="A392" s="6179" t="s">
        <v>2262</v>
      </c>
      <c r="B392" s="6179" t="s">
        <v>16</v>
      </c>
      <c r="C392" s="6179" t="s">
        <v>2875</v>
      </c>
      <c r="D392" s="6179" t="s">
        <v>2876</v>
      </c>
      <c r="E392" s="6179" t="s">
        <v>2877</v>
      </c>
      <c r="F392" s="6179" t="s">
        <v>2442</v>
      </c>
      <c r="G392" s="6179" t="s">
        <v>2878</v>
      </c>
      <c r="H392" s="6179" t="s">
        <v>28</v>
      </c>
      <c r="I392" s="6179" t="s">
        <v>915</v>
      </c>
    </row>
    <row customHeight="1" ht="11.25">
      <c r="A393" s="6179" t="s">
        <v>2262</v>
      </c>
      <c r="B393" s="6179" t="s">
        <v>16</v>
      </c>
      <c r="C393" s="6179" t="s">
        <v>2879</v>
      </c>
      <c r="D393" s="6179" t="s">
        <v>2880</v>
      </c>
      <c r="E393" s="6179" t="s">
        <v>2881</v>
      </c>
      <c r="F393" s="6179" t="s">
        <v>2269</v>
      </c>
      <c r="G393" s="6179" t="s">
        <v>2882</v>
      </c>
      <c r="H393" s="6179" t="s">
        <v>28</v>
      </c>
      <c r="I393" s="6179" t="s">
        <v>915</v>
      </c>
    </row>
    <row customHeight="1" ht="11.25">
      <c r="A394" s="6179" t="s">
        <v>2262</v>
      </c>
      <c r="B394" s="6179" t="s">
        <v>16</v>
      </c>
      <c r="C394" s="6179" t="s">
        <v>2883</v>
      </c>
      <c r="D394" s="6179" t="s">
        <v>2884</v>
      </c>
      <c r="E394" s="6179" t="s">
        <v>2885</v>
      </c>
      <c r="F394" s="6179" t="s">
        <v>2396</v>
      </c>
      <c r="G394" s="6179" t="s">
        <v>28</v>
      </c>
      <c r="H394" s="6179" t="s">
        <v>28</v>
      </c>
      <c r="I394" s="6179" t="s">
        <v>915</v>
      </c>
    </row>
    <row customHeight="1" ht="11.25">
      <c r="A395" s="6179" t="s">
        <v>2262</v>
      </c>
      <c r="B395" s="6179" t="s">
        <v>16</v>
      </c>
      <c r="C395" s="6179" t="s">
        <v>2886</v>
      </c>
      <c r="D395" s="6179" t="s">
        <v>2887</v>
      </c>
      <c r="E395" s="6179" t="s">
        <v>2888</v>
      </c>
      <c r="F395" s="6179" t="s">
        <v>2685</v>
      </c>
      <c r="G395" s="6179" t="s">
        <v>2889</v>
      </c>
      <c r="H395" s="6179" t="s">
        <v>28</v>
      </c>
      <c r="I395" s="6179" t="s">
        <v>915</v>
      </c>
    </row>
    <row customHeight="1" ht="11.25">
      <c r="A396" s="6179" t="s">
        <v>2262</v>
      </c>
      <c r="B396" s="6179" t="s">
        <v>16</v>
      </c>
      <c r="C396" s="6179" t="s">
        <v>2890</v>
      </c>
      <c r="D396" s="6179" t="s">
        <v>2891</v>
      </c>
      <c r="E396" s="6179" t="s">
        <v>2892</v>
      </c>
      <c r="F396" s="6179" t="s">
        <v>2322</v>
      </c>
      <c r="G396" s="6179" t="s">
        <v>2893</v>
      </c>
      <c r="H396" s="6179" t="s">
        <v>28</v>
      </c>
      <c r="I396" s="6179" t="s">
        <v>915</v>
      </c>
    </row>
    <row customHeight="1" ht="11.25">
      <c r="A397" s="6179" t="s">
        <v>2262</v>
      </c>
      <c r="B397" s="6179" t="s">
        <v>16</v>
      </c>
      <c r="C397" s="6179" t="s">
        <v>3031</v>
      </c>
      <c r="D397" s="6179" t="s">
        <v>3032</v>
      </c>
      <c r="E397" s="6179" t="s">
        <v>3033</v>
      </c>
      <c r="F397" s="6179" t="s">
        <v>2265</v>
      </c>
      <c r="G397" s="6179" t="s">
        <v>28</v>
      </c>
      <c r="H397" s="6179" t="s">
        <v>28</v>
      </c>
      <c r="I397" s="6179" t="s">
        <v>915</v>
      </c>
    </row>
    <row customHeight="1" ht="11.25">
      <c r="A398" s="6179" t="s">
        <v>2262</v>
      </c>
      <c r="B398" s="6179" t="s">
        <v>16</v>
      </c>
      <c r="C398" s="6179" t="s">
        <v>2526</v>
      </c>
      <c r="D398" s="6179" t="s">
        <v>2527</v>
      </c>
      <c r="E398" s="6179" t="s">
        <v>2528</v>
      </c>
      <c r="F398" s="6179" t="s">
        <v>2494</v>
      </c>
      <c r="G398" s="6179" t="s">
        <v>28</v>
      </c>
      <c r="H398" s="6179" t="s">
        <v>28</v>
      </c>
      <c r="I398" s="6179" t="s">
        <v>915</v>
      </c>
    </row>
    <row customHeight="1" ht="11.25">
      <c r="A399" s="6179" t="s">
        <v>2262</v>
      </c>
      <c r="B399" s="6179" t="s">
        <v>16</v>
      </c>
      <c r="C399" s="6179" t="s">
        <v>2898</v>
      </c>
      <c r="D399" s="6179" t="s">
        <v>2899</v>
      </c>
      <c r="E399" s="6179" t="s">
        <v>2900</v>
      </c>
      <c r="F399" s="6179" t="s">
        <v>2442</v>
      </c>
      <c r="G399" s="6179" t="s">
        <v>28</v>
      </c>
      <c r="H399" s="6179" t="s">
        <v>28</v>
      </c>
      <c r="I399" s="6179" t="s">
        <v>915</v>
      </c>
    </row>
    <row customHeight="1" ht="11.25">
      <c r="A400" s="6179" t="s">
        <v>2262</v>
      </c>
      <c r="B400" s="6179" t="s">
        <v>16</v>
      </c>
      <c r="C400" s="6179" t="s">
        <v>2539</v>
      </c>
      <c r="D400" s="6179" t="s">
        <v>2540</v>
      </c>
      <c r="E400" s="6179" t="s">
        <v>2541</v>
      </c>
      <c r="F400" s="6179" t="s">
        <v>52</v>
      </c>
      <c r="G400" s="6179" t="s">
        <v>28</v>
      </c>
      <c r="H400" s="6179" t="s">
        <v>28</v>
      </c>
      <c r="I400" s="6179" t="s">
        <v>915</v>
      </c>
    </row>
    <row customHeight="1" ht="11.25">
      <c r="A401" s="6179" t="s">
        <v>2262</v>
      </c>
      <c r="B401" s="6179" t="s">
        <v>16</v>
      </c>
      <c r="C401" s="6179" t="s">
        <v>2557</v>
      </c>
      <c r="D401" s="6179" t="s">
        <v>2558</v>
      </c>
      <c r="E401" s="6179" t="s">
        <v>2559</v>
      </c>
      <c r="F401" s="6179" t="s">
        <v>2463</v>
      </c>
      <c r="G401" s="6179" t="s">
        <v>2560</v>
      </c>
      <c r="H401" s="6179" t="s">
        <v>28</v>
      </c>
      <c r="I401" s="6179" t="s">
        <v>915</v>
      </c>
    </row>
    <row customHeight="1" ht="11.25">
      <c r="A402" s="6179" t="s">
        <v>2262</v>
      </c>
      <c r="B402" s="6179" t="s">
        <v>16</v>
      </c>
      <c r="C402" s="6179" t="s">
        <v>2901</v>
      </c>
      <c r="D402" s="6179" t="s">
        <v>2902</v>
      </c>
      <c r="E402" s="6179" t="s">
        <v>2903</v>
      </c>
      <c r="F402" s="6179" t="s">
        <v>2449</v>
      </c>
      <c r="G402" s="6179" t="s">
        <v>28</v>
      </c>
      <c r="H402" s="6179" t="s">
        <v>28</v>
      </c>
      <c r="I402" s="6179" t="s">
        <v>915</v>
      </c>
    </row>
    <row customHeight="1" ht="11.25">
      <c r="A403" s="6179" t="s">
        <v>2262</v>
      </c>
      <c r="B403" s="6179" t="s">
        <v>16</v>
      </c>
      <c r="C403" s="6179" t="s">
        <v>2904</v>
      </c>
      <c r="D403" s="6179" t="s">
        <v>2905</v>
      </c>
      <c r="E403" s="6179" t="s">
        <v>2906</v>
      </c>
      <c r="F403" s="6179" t="s">
        <v>2396</v>
      </c>
      <c r="G403" s="6179" t="s">
        <v>28</v>
      </c>
      <c r="H403" s="6179" t="s">
        <v>28</v>
      </c>
      <c r="I403" s="6179" t="s">
        <v>915</v>
      </c>
    </row>
    <row customHeight="1" ht="11.25">
      <c r="A404" s="6179" t="s">
        <v>2262</v>
      </c>
      <c r="B404" s="6179" t="s">
        <v>16</v>
      </c>
      <c r="C404" s="6179" t="s">
        <v>2907</v>
      </c>
      <c r="D404" s="6179" t="s">
        <v>2908</v>
      </c>
      <c r="E404" s="6179" t="s">
        <v>2909</v>
      </c>
      <c r="F404" s="6179" t="s">
        <v>2910</v>
      </c>
      <c r="G404" s="6179" t="s">
        <v>28</v>
      </c>
      <c r="H404" s="6179" t="s">
        <v>28</v>
      </c>
      <c r="I404" s="6179" t="s">
        <v>915</v>
      </c>
    </row>
    <row customHeight="1" ht="11.25">
      <c r="A405" s="6179" t="s">
        <v>2262</v>
      </c>
      <c r="B405" s="6179" t="s">
        <v>16</v>
      </c>
      <c r="C405" s="6179" t="s">
        <v>2911</v>
      </c>
      <c r="D405" s="6179" t="s">
        <v>2912</v>
      </c>
      <c r="E405" s="6179" t="s">
        <v>2913</v>
      </c>
      <c r="F405" s="6179" t="s">
        <v>2463</v>
      </c>
      <c r="G405" s="6179" t="s">
        <v>28</v>
      </c>
      <c r="H405" s="6179" t="s">
        <v>28</v>
      </c>
      <c r="I405" s="6179" t="s">
        <v>915</v>
      </c>
    </row>
    <row customHeight="1" ht="11.25">
      <c r="A406" s="6179" t="s">
        <v>2262</v>
      </c>
      <c r="B406" s="6179" t="s">
        <v>16</v>
      </c>
      <c r="C406" s="6179" t="s">
        <v>2914</v>
      </c>
      <c r="D406" s="6179" t="s">
        <v>2915</v>
      </c>
      <c r="E406" s="6179" t="s">
        <v>2916</v>
      </c>
      <c r="F406" s="6179" t="s">
        <v>2294</v>
      </c>
      <c r="G406" s="6179" t="s">
        <v>28</v>
      </c>
      <c r="H406" s="6179" t="s">
        <v>28</v>
      </c>
      <c r="I406" s="6179" t="s">
        <v>915</v>
      </c>
    </row>
    <row customHeight="1" ht="11.25">
      <c r="A407" s="6179" t="s">
        <v>2262</v>
      </c>
      <c r="B407" s="6179" t="s">
        <v>16</v>
      </c>
      <c r="C407" s="6179" t="s">
        <v>2576</v>
      </c>
      <c r="D407" s="6179" t="s">
        <v>2577</v>
      </c>
      <c r="E407" s="6179" t="s">
        <v>2578</v>
      </c>
      <c r="F407" s="6179" t="s">
        <v>2442</v>
      </c>
      <c r="G407" s="6179" t="s">
        <v>2323</v>
      </c>
      <c r="H407" s="6179" t="s">
        <v>28</v>
      </c>
      <c r="I407" s="6179" t="s">
        <v>915</v>
      </c>
    </row>
    <row customHeight="1" ht="11.25">
      <c r="A408" s="6179" t="s">
        <v>2262</v>
      </c>
      <c r="B408" s="6179" t="s">
        <v>16</v>
      </c>
      <c r="C408" s="6179" t="s">
        <v>3034</v>
      </c>
      <c r="D408" s="6179" t="s">
        <v>3035</v>
      </c>
      <c r="E408" s="6179" t="s">
        <v>3036</v>
      </c>
      <c r="F408" s="6179" t="s">
        <v>2582</v>
      </c>
      <c r="G408" s="6179" t="s">
        <v>3037</v>
      </c>
      <c r="H408" s="6179" t="s">
        <v>28</v>
      </c>
      <c r="I408" s="6179" t="s">
        <v>915</v>
      </c>
    </row>
    <row customHeight="1" ht="11.25">
      <c r="A409" s="6179" t="s">
        <v>2262</v>
      </c>
      <c r="B409" s="6179" t="s">
        <v>16</v>
      </c>
      <c r="C409" s="6179" t="s">
        <v>2917</v>
      </c>
      <c r="D409" s="6179" t="s">
        <v>2918</v>
      </c>
      <c r="E409" s="6179" t="s">
        <v>2919</v>
      </c>
      <c r="F409" s="6179" t="s">
        <v>2442</v>
      </c>
      <c r="G409" s="6179" t="s">
        <v>28</v>
      </c>
      <c r="H409" s="6179" t="s">
        <v>28</v>
      </c>
      <c r="I409" s="6179" t="s">
        <v>915</v>
      </c>
    </row>
    <row customHeight="1" ht="11.25">
      <c r="A410" s="6179" t="s">
        <v>2262</v>
      </c>
      <c r="B410" s="6179" t="s">
        <v>16</v>
      </c>
      <c r="C410" s="6179" t="s">
        <v>2600</v>
      </c>
      <c r="D410" s="6179" t="s">
        <v>2601</v>
      </c>
      <c r="E410" s="6179" t="s">
        <v>2602</v>
      </c>
      <c r="F410" s="6179" t="s">
        <v>2603</v>
      </c>
      <c r="G410" s="6179" t="s">
        <v>28</v>
      </c>
      <c r="H410" s="6179" t="s">
        <v>28</v>
      </c>
      <c r="I410" s="6179" t="s">
        <v>915</v>
      </c>
    </row>
    <row customHeight="1" ht="11.25">
      <c r="A411" s="6179" t="s">
        <v>2262</v>
      </c>
      <c r="B411" s="6179" t="s">
        <v>16</v>
      </c>
      <c r="C411" s="6179" t="s">
        <v>2923</v>
      </c>
      <c r="D411" s="6179" t="s">
        <v>2924</v>
      </c>
      <c r="E411" s="6179" t="s">
        <v>2925</v>
      </c>
      <c r="F411" s="6179" t="s">
        <v>2294</v>
      </c>
      <c r="G411" s="6179" t="s">
        <v>28</v>
      </c>
      <c r="H411" s="6179" t="s">
        <v>28</v>
      </c>
      <c r="I411" s="6179" t="s">
        <v>915</v>
      </c>
    </row>
    <row customHeight="1" ht="11.25">
      <c r="A412" s="6179" t="s">
        <v>2262</v>
      </c>
      <c r="B412" s="6179" t="s">
        <v>16</v>
      </c>
      <c r="C412" s="6179" t="s">
        <v>2926</v>
      </c>
      <c r="D412" s="6179" t="s">
        <v>2927</v>
      </c>
      <c r="E412" s="6179" t="s">
        <v>2928</v>
      </c>
      <c r="F412" s="6179" t="s">
        <v>2494</v>
      </c>
      <c r="G412" s="6179" t="s">
        <v>28</v>
      </c>
      <c r="H412" s="6179" t="s">
        <v>28</v>
      </c>
      <c r="I412" s="6179" t="s">
        <v>915</v>
      </c>
    </row>
    <row customHeight="1" ht="11.25">
      <c r="A413" s="6179" t="s">
        <v>2262</v>
      </c>
      <c r="B413" s="6179" t="s">
        <v>16</v>
      </c>
      <c r="C413" s="6179" t="s">
        <v>2935</v>
      </c>
      <c r="D413" s="6179" t="s">
        <v>2936</v>
      </c>
      <c r="E413" s="6179" t="s">
        <v>2937</v>
      </c>
      <c r="F413" s="6179" t="s">
        <v>2367</v>
      </c>
      <c r="G413" s="6179" t="s">
        <v>28</v>
      </c>
      <c r="H413" s="6179" t="s">
        <v>28</v>
      </c>
      <c r="I413" s="6179" t="s">
        <v>915</v>
      </c>
    </row>
    <row customHeight="1" ht="11.25">
      <c r="A414" s="6179" t="s">
        <v>2262</v>
      </c>
      <c r="B414" s="6179" t="s">
        <v>16</v>
      </c>
      <c r="C414" s="6179" t="s">
        <v>2938</v>
      </c>
      <c r="D414" s="6179" t="s">
        <v>2939</v>
      </c>
      <c r="E414" s="6179" t="s">
        <v>2940</v>
      </c>
      <c r="F414" s="6179" t="s">
        <v>2265</v>
      </c>
      <c r="G414" s="6179" t="s">
        <v>28</v>
      </c>
      <c r="H414" s="6179" t="s">
        <v>28</v>
      </c>
      <c r="I414" s="6179" t="s">
        <v>915</v>
      </c>
    </row>
    <row customHeight="1" ht="11.25">
      <c r="A415" s="6179" t="s">
        <v>2262</v>
      </c>
      <c r="B415" s="6179" t="s">
        <v>16</v>
      </c>
      <c r="C415" s="6179" t="s">
        <v>2944</v>
      </c>
      <c r="D415" s="6179" t="s">
        <v>2945</v>
      </c>
      <c r="E415" s="6179" t="s">
        <v>2946</v>
      </c>
      <c r="F415" s="6179" t="s">
        <v>2313</v>
      </c>
      <c r="G415" s="6179" t="s">
        <v>2947</v>
      </c>
      <c r="H415" s="6179" t="s">
        <v>28</v>
      </c>
      <c r="I415" s="6179" t="s">
        <v>915</v>
      </c>
    </row>
    <row customHeight="1" ht="11.25">
      <c r="A416" s="6179" t="s">
        <v>2262</v>
      </c>
      <c r="B416" s="6179" t="s">
        <v>16</v>
      </c>
      <c r="C416" s="6179" t="s">
        <v>2948</v>
      </c>
      <c r="D416" s="6179" t="s">
        <v>2949</v>
      </c>
      <c r="E416" s="6179" t="s">
        <v>2264</v>
      </c>
      <c r="F416" s="6179" t="s">
        <v>2265</v>
      </c>
      <c r="G416" s="6179" t="s">
        <v>28</v>
      </c>
      <c r="H416" s="6179" t="s">
        <v>28</v>
      </c>
      <c r="I416" s="6179" t="s">
        <v>915</v>
      </c>
    </row>
    <row customHeight="1" ht="11.25">
      <c r="A417" s="6179" t="s">
        <v>2262</v>
      </c>
      <c r="B417" s="6179" t="s">
        <v>16</v>
      </c>
      <c r="C417" s="6179" t="s">
        <v>2950</v>
      </c>
      <c r="D417" s="6179" t="s">
        <v>2951</v>
      </c>
      <c r="E417" s="6179" t="s">
        <v>2952</v>
      </c>
      <c r="F417" s="6179" t="s">
        <v>2269</v>
      </c>
      <c r="G417" s="6179" t="s">
        <v>28</v>
      </c>
      <c r="H417" s="6179" t="s">
        <v>28</v>
      </c>
      <c r="I417" s="6179" t="s">
        <v>915</v>
      </c>
    </row>
    <row customHeight="1" ht="11.25">
      <c r="A418" s="6179" t="s">
        <v>2262</v>
      </c>
      <c r="B418" s="6179" t="s">
        <v>16</v>
      </c>
      <c r="C418" s="6179" t="s">
        <v>2953</v>
      </c>
      <c r="D418" s="6179" t="s">
        <v>2954</v>
      </c>
      <c r="E418" s="6179" t="s">
        <v>2955</v>
      </c>
      <c r="F418" s="6179" t="s">
        <v>2269</v>
      </c>
      <c r="G418" s="6179" t="s">
        <v>28</v>
      </c>
      <c r="H418" s="6179" t="s">
        <v>28</v>
      </c>
      <c r="I418" s="6179" t="s">
        <v>915</v>
      </c>
    </row>
    <row customHeight="1" ht="11.25">
      <c r="A419" s="6179" t="s">
        <v>2262</v>
      </c>
      <c r="B419" s="6179" t="s">
        <v>16</v>
      </c>
      <c r="C419" s="6179" t="s">
        <v>2607</v>
      </c>
      <c r="D419" s="6179" t="s">
        <v>2608</v>
      </c>
      <c r="E419" s="6179" t="s">
        <v>2609</v>
      </c>
      <c r="F419" s="6179" t="s">
        <v>2277</v>
      </c>
      <c r="G419" s="6179" t="s">
        <v>28</v>
      </c>
      <c r="H419" s="6179" t="s">
        <v>28</v>
      </c>
      <c r="I419" s="6179" t="s">
        <v>915</v>
      </c>
    </row>
    <row customHeight="1" ht="11.25">
      <c r="A420" s="6179" t="s">
        <v>2262</v>
      </c>
      <c r="B420" s="6179" t="s">
        <v>16</v>
      </c>
      <c r="C420" s="6179" t="s">
        <v>2618</v>
      </c>
      <c r="D420" s="6179" t="s">
        <v>2619</v>
      </c>
      <c r="E420" s="6179" t="s">
        <v>2620</v>
      </c>
      <c r="F420" s="6179" t="s">
        <v>2589</v>
      </c>
      <c r="G420" s="6179" t="s">
        <v>2621</v>
      </c>
      <c r="H420" s="6179" t="s">
        <v>28</v>
      </c>
      <c r="I420" s="6179" t="s">
        <v>915</v>
      </c>
    </row>
    <row customHeight="1" ht="11.25">
      <c r="A421" s="6179" t="s">
        <v>2262</v>
      </c>
      <c r="B421" s="6179" t="s">
        <v>16</v>
      </c>
      <c r="C421" s="6179" t="s">
        <v>2622</v>
      </c>
      <c r="D421" s="6179" t="s">
        <v>2623</v>
      </c>
      <c r="E421" s="6179" t="s">
        <v>2624</v>
      </c>
      <c r="F421" s="6179" t="s">
        <v>2313</v>
      </c>
      <c r="G421" s="6179" t="s">
        <v>2625</v>
      </c>
      <c r="H421" s="6179" t="s">
        <v>28</v>
      </c>
      <c r="I421" s="6179" t="s">
        <v>915</v>
      </c>
    </row>
    <row customHeight="1" ht="11.25">
      <c r="A422" s="6179" t="s">
        <v>2262</v>
      </c>
      <c r="B422" s="6179" t="s">
        <v>16</v>
      </c>
      <c r="C422" s="6179" t="s">
        <v>2962</v>
      </c>
      <c r="D422" s="6179" t="s">
        <v>2963</v>
      </c>
      <c r="E422" s="6179" t="s">
        <v>2964</v>
      </c>
      <c r="F422" s="6179" t="s">
        <v>2965</v>
      </c>
      <c r="G422" s="6179" t="s">
        <v>28</v>
      </c>
      <c r="H422" s="6179" t="s">
        <v>28</v>
      </c>
      <c r="I422" s="6179" t="s">
        <v>915</v>
      </c>
    </row>
    <row customHeight="1" ht="11.25">
      <c r="A423" s="6179" t="s">
        <v>2262</v>
      </c>
      <c r="B423" s="6179" t="s">
        <v>16</v>
      </c>
      <c r="C423" s="6179" t="s">
        <v>2966</v>
      </c>
      <c r="D423" s="6179" t="s">
        <v>2967</v>
      </c>
      <c r="E423" s="6179" t="s">
        <v>2968</v>
      </c>
      <c r="F423" s="6179" t="s">
        <v>2396</v>
      </c>
      <c r="G423" s="6179" t="s">
        <v>28</v>
      </c>
      <c r="H423" s="6179" t="s">
        <v>28</v>
      </c>
      <c r="I423" s="6179" t="s">
        <v>915</v>
      </c>
    </row>
    <row customHeight="1" ht="11.25">
      <c r="A424" s="6179" t="s">
        <v>2262</v>
      </c>
      <c r="B424" s="6179" t="s">
        <v>16</v>
      </c>
      <c r="C424" s="6179" t="s">
        <v>2636</v>
      </c>
      <c r="D424" s="6179" t="s">
        <v>2637</v>
      </c>
      <c r="E424" s="6179" t="s">
        <v>2638</v>
      </c>
      <c r="F424" s="6179" t="s">
        <v>2463</v>
      </c>
      <c r="G424" s="6179" t="s">
        <v>28</v>
      </c>
      <c r="H424" s="6179" t="s">
        <v>28</v>
      </c>
      <c r="I424" s="6179" t="s">
        <v>915</v>
      </c>
    </row>
    <row customHeight="1" ht="11.25">
      <c r="A425" s="6179" t="s">
        <v>2262</v>
      </c>
      <c r="B425" s="6179" t="s">
        <v>16</v>
      </c>
      <c r="C425" s="6179" t="s">
        <v>2639</v>
      </c>
      <c r="D425" s="6179" t="s">
        <v>2640</v>
      </c>
      <c r="E425" s="6179" t="s">
        <v>2641</v>
      </c>
      <c r="F425" s="6179" t="s">
        <v>2642</v>
      </c>
      <c r="G425" s="6179" t="s">
        <v>2643</v>
      </c>
      <c r="H425" s="6179" t="s">
        <v>28</v>
      </c>
      <c r="I425" s="6179" t="s">
        <v>915</v>
      </c>
    </row>
    <row customHeight="1" ht="11.25">
      <c r="A426" s="6179" t="s">
        <v>2262</v>
      </c>
      <c r="B426" s="6179" t="s">
        <v>16</v>
      </c>
      <c r="C426" s="6179" t="s">
        <v>2644</v>
      </c>
      <c r="D426" s="6179" t="s">
        <v>2645</v>
      </c>
      <c r="E426" s="6179" t="s">
        <v>2646</v>
      </c>
      <c r="F426" s="6179" t="s">
        <v>2463</v>
      </c>
      <c r="G426" s="6179" t="s">
        <v>28</v>
      </c>
      <c r="H426" s="6179" t="s">
        <v>28</v>
      </c>
      <c r="I426" s="6179" t="s">
        <v>915</v>
      </c>
    </row>
    <row customHeight="1" ht="11.25">
      <c r="A427" s="6179" t="s">
        <v>2262</v>
      </c>
      <c r="B427" s="6179" t="s">
        <v>16</v>
      </c>
      <c r="C427" s="6179" t="s">
        <v>2650</v>
      </c>
      <c r="D427" s="6179" t="s">
        <v>2651</v>
      </c>
      <c r="E427" s="6179" t="s">
        <v>2652</v>
      </c>
      <c r="F427" s="6179" t="s">
        <v>2396</v>
      </c>
      <c r="G427" s="6179" t="s">
        <v>28</v>
      </c>
      <c r="H427" s="6179" t="s">
        <v>28</v>
      </c>
      <c r="I427" s="6179" t="s">
        <v>915</v>
      </c>
    </row>
    <row customHeight="1" ht="11.25">
      <c r="A428" s="6179" t="s">
        <v>2262</v>
      </c>
      <c r="B428" s="6179" t="s">
        <v>16</v>
      </c>
      <c r="C428" s="6179" t="s">
        <v>2969</v>
      </c>
      <c r="D428" s="6179" t="s">
        <v>2970</v>
      </c>
      <c r="E428" s="6179" t="s">
        <v>2971</v>
      </c>
      <c r="F428" s="6179" t="s">
        <v>2782</v>
      </c>
      <c r="G428" s="6179" t="s">
        <v>28</v>
      </c>
      <c r="H428" s="6179" t="s">
        <v>28</v>
      </c>
      <c r="I428" s="6179" t="s">
        <v>915</v>
      </c>
    </row>
    <row customHeight="1" ht="11.25">
      <c r="A429" s="6179" t="s">
        <v>2262</v>
      </c>
      <c r="B429" s="6179" t="s">
        <v>16</v>
      </c>
      <c r="C429" s="6179" t="s">
        <v>2972</v>
      </c>
      <c r="D429" s="6179" t="s">
        <v>2973</v>
      </c>
      <c r="E429" s="6179" t="s">
        <v>2974</v>
      </c>
      <c r="F429" s="6179" t="s">
        <v>2782</v>
      </c>
      <c r="G429" s="6179" t="s">
        <v>28</v>
      </c>
      <c r="H429" s="6179" t="s">
        <v>28</v>
      </c>
      <c r="I429" s="6179" t="s">
        <v>915</v>
      </c>
    </row>
    <row customHeight="1" ht="11.25">
      <c r="A430" s="6179" t="s">
        <v>2262</v>
      </c>
      <c r="B430" s="6179" t="s">
        <v>16</v>
      </c>
      <c r="C430" s="6179" t="s">
        <v>2975</v>
      </c>
      <c r="D430" s="6179" t="s">
        <v>2976</v>
      </c>
      <c r="E430" s="6179" t="s">
        <v>2977</v>
      </c>
      <c r="F430" s="6179" t="s">
        <v>2294</v>
      </c>
      <c r="G430" s="6179" t="s">
        <v>28</v>
      </c>
      <c r="H430" s="6179" t="s">
        <v>28</v>
      </c>
      <c r="I430" s="6179" t="s">
        <v>915</v>
      </c>
    </row>
    <row customHeight="1" ht="11.25">
      <c r="A431" s="6179" t="s">
        <v>2262</v>
      </c>
      <c r="B431" s="6179" t="s">
        <v>16</v>
      </c>
      <c r="C431" s="6179" t="s">
        <v>2653</v>
      </c>
      <c r="D431" s="6179" t="s">
        <v>2654</v>
      </c>
      <c r="E431" s="6179" t="s">
        <v>2655</v>
      </c>
      <c r="F431" s="6179" t="s">
        <v>2273</v>
      </c>
      <c r="G431" s="6179" t="s">
        <v>28</v>
      </c>
      <c r="H431" s="6179" t="s">
        <v>28</v>
      </c>
      <c r="I431" s="6179" t="s">
        <v>915</v>
      </c>
    </row>
    <row customHeight="1" ht="11.25">
      <c r="A432" s="6179" t="s">
        <v>2262</v>
      </c>
      <c r="B432" s="6179" t="s">
        <v>16</v>
      </c>
      <c r="C432" s="6179" t="s">
        <v>2656</v>
      </c>
      <c r="D432" s="6179" t="s">
        <v>2657</v>
      </c>
      <c r="E432" s="6179" t="s">
        <v>2658</v>
      </c>
      <c r="F432" s="6179" t="s">
        <v>2659</v>
      </c>
      <c r="G432" s="6179" t="s">
        <v>28</v>
      </c>
      <c r="H432" s="6179" t="s">
        <v>28</v>
      </c>
      <c r="I432" s="6179" t="s">
        <v>915</v>
      </c>
    </row>
    <row customHeight="1" ht="11.25">
      <c r="A433" s="6179" t="s">
        <v>2262</v>
      </c>
      <c r="B433" s="6179" t="s">
        <v>16</v>
      </c>
      <c r="C433" s="6179" t="s">
        <v>2987</v>
      </c>
      <c r="D433" s="6179" t="s">
        <v>2988</v>
      </c>
      <c r="E433" s="6179" t="s">
        <v>2989</v>
      </c>
      <c r="F433" s="6179" t="s">
        <v>2841</v>
      </c>
      <c r="G433" s="6179" t="s">
        <v>2990</v>
      </c>
      <c r="H433" s="6179" t="s">
        <v>28</v>
      </c>
      <c r="I433" s="6179" t="s">
        <v>915</v>
      </c>
    </row>
    <row customHeight="1" ht="11.25">
      <c r="A434" s="6179" t="s">
        <v>2262</v>
      </c>
      <c r="B434" s="6179" t="s">
        <v>16</v>
      </c>
      <c r="C434" s="6179" t="s">
        <v>2991</v>
      </c>
      <c r="D434" s="6179" t="s">
        <v>2992</v>
      </c>
      <c r="E434" s="6179" t="s">
        <v>2993</v>
      </c>
      <c r="F434" s="6179" t="s">
        <v>2367</v>
      </c>
      <c r="G434" s="6179" t="s">
        <v>28</v>
      </c>
      <c r="H434" s="6179" t="s">
        <v>28</v>
      </c>
      <c r="I434" s="6179" t="s">
        <v>915</v>
      </c>
    </row>
    <row customHeight="1" ht="11.25">
      <c r="A435" s="6179" t="s">
        <v>2262</v>
      </c>
      <c r="B435" s="6179" t="s">
        <v>16</v>
      </c>
      <c r="C435" s="6179" t="s">
        <v>2994</v>
      </c>
      <c r="D435" s="6179" t="s">
        <v>2995</v>
      </c>
      <c r="E435" s="6179" t="s">
        <v>2996</v>
      </c>
      <c r="F435" s="6179" t="s">
        <v>2388</v>
      </c>
      <c r="G435" s="6179" t="s">
        <v>28</v>
      </c>
      <c r="H435" s="6179" t="s">
        <v>28</v>
      </c>
      <c r="I435" s="6179" t="s">
        <v>915</v>
      </c>
    </row>
    <row customHeight="1" ht="11.25">
      <c r="A436" s="6179" t="s">
        <v>2262</v>
      </c>
      <c r="B436" s="6179" t="s">
        <v>16</v>
      </c>
      <c r="C436" s="6179" t="s">
        <v>3003</v>
      </c>
      <c r="D436" s="6179" t="s">
        <v>3004</v>
      </c>
      <c r="E436" s="6179" t="s">
        <v>3005</v>
      </c>
      <c r="F436" s="6179" t="s">
        <v>2782</v>
      </c>
      <c r="G436" s="6179" t="s">
        <v>3006</v>
      </c>
      <c r="H436" s="6179" t="s">
        <v>28</v>
      </c>
      <c r="I436" s="6179" t="s">
        <v>915</v>
      </c>
    </row>
    <row customHeight="1" ht="11.25">
      <c r="A437" s="6179" t="s">
        <v>2262</v>
      </c>
      <c r="B437" s="6179" t="s">
        <v>16</v>
      </c>
      <c r="C437" s="6179" t="s">
        <v>3007</v>
      </c>
      <c r="D437" s="6179" t="s">
        <v>3008</v>
      </c>
      <c r="E437" s="6179" t="s">
        <v>3009</v>
      </c>
      <c r="F437" s="6179" t="s">
        <v>2322</v>
      </c>
      <c r="G437" s="6179" t="s">
        <v>28</v>
      </c>
      <c r="H437" s="6179" t="s">
        <v>28</v>
      </c>
      <c r="I437" s="6179" t="s">
        <v>915</v>
      </c>
    </row>
    <row customHeight="1" ht="11.25">
      <c r="A438" s="6179" t="s">
        <v>2262</v>
      </c>
      <c r="B438" s="6179" t="s">
        <v>16</v>
      </c>
      <c r="C438" s="6179" t="s">
        <v>2686</v>
      </c>
      <c r="D438" s="6179" t="s">
        <v>2687</v>
      </c>
      <c r="E438" s="6179" t="s">
        <v>2688</v>
      </c>
      <c r="F438" s="6179" t="s">
        <v>2294</v>
      </c>
      <c r="G438" s="6179" t="s">
        <v>28</v>
      </c>
      <c r="H438" s="6179" t="s">
        <v>28</v>
      </c>
      <c r="I438" s="6179" t="s">
        <v>915</v>
      </c>
    </row>
    <row customHeight="1" ht="11.25">
      <c r="A439" s="6179" t="s">
        <v>2262</v>
      </c>
      <c r="B439" s="6179" t="s">
        <v>16</v>
      </c>
      <c r="C439" s="6179" t="s">
        <v>28</v>
      </c>
      <c r="D439" s="6179" t="s">
        <v>2263</v>
      </c>
      <c r="E439" s="6179" t="s">
        <v>2264</v>
      </c>
      <c r="F439" s="6179" t="s">
        <v>2265</v>
      </c>
      <c r="G439" s="6179" t="s">
        <v>28</v>
      </c>
      <c r="H439" s="6179" t="s">
        <v>28</v>
      </c>
      <c r="I439" s="6179" t="s">
        <v>1634</v>
      </c>
    </row>
    <row customHeight="1" ht="11.25">
      <c r="A440" s="6179" t="s">
        <v>2262</v>
      </c>
      <c r="B440" s="6179" t="s">
        <v>16</v>
      </c>
      <c r="C440" s="6179" t="s">
        <v>3038</v>
      </c>
      <c r="D440" s="6179" t="s">
        <v>3039</v>
      </c>
      <c r="E440" s="6179" t="s">
        <v>3040</v>
      </c>
      <c r="F440" s="6179" t="s">
        <v>584</v>
      </c>
      <c r="G440" s="6179" t="s">
        <v>3041</v>
      </c>
      <c r="H440" s="6179" t="s">
        <v>28</v>
      </c>
      <c r="I440" s="6179" t="s">
        <v>1634</v>
      </c>
    </row>
    <row customHeight="1" ht="11.25">
      <c r="A441" s="6179" t="s">
        <v>2262</v>
      </c>
      <c r="B441" s="6179" t="s">
        <v>16</v>
      </c>
      <c r="C441" s="6179" t="s">
        <v>2403</v>
      </c>
      <c r="D441" s="6179" t="s">
        <v>2404</v>
      </c>
      <c r="E441" s="6179" t="s">
        <v>2405</v>
      </c>
      <c r="F441" s="6179" t="s">
        <v>2406</v>
      </c>
      <c r="G441" s="6179" t="s">
        <v>28</v>
      </c>
      <c r="H441" s="6179" t="s">
        <v>28</v>
      </c>
      <c r="I441" s="6179" t="s">
        <v>1634</v>
      </c>
    </row>
    <row customHeight="1" ht="11.25">
      <c r="A442" s="6179" t="s">
        <v>2262</v>
      </c>
      <c r="B442" s="6179" t="s">
        <v>16</v>
      </c>
      <c r="C442" s="6179" t="s">
        <v>2756</v>
      </c>
      <c r="D442" s="6179" t="s">
        <v>2757</v>
      </c>
      <c r="E442" s="6179" t="s">
        <v>2758</v>
      </c>
      <c r="F442" s="6179" t="s">
        <v>2494</v>
      </c>
      <c r="G442" s="6179" t="s">
        <v>28</v>
      </c>
      <c r="H442" s="6179" t="s">
        <v>28</v>
      </c>
      <c r="I442" s="6179" t="s">
        <v>1634</v>
      </c>
    </row>
    <row customHeight="1" ht="11.25">
      <c r="A443" s="6179" t="s">
        <v>2262</v>
      </c>
      <c r="B443" s="6179" t="s">
        <v>16</v>
      </c>
      <c r="C443" s="6179" t="s">
        <v>3042</v>
      </c>
      <c r="D443" s="6179" t="s">
        <v>3043</v>
      </c>
      <c r="E443" s="6179" t="s">
        <v>3044</v>
      </c>
      <c r="F443" s="6179" t="s">
        <v>2507</v>
      </c>
      <c r="G443" s="6179" t="s">
        <v>3045</v>
      </c>
      <c r="H443" s="6179" t="s">
        <v>28</v>
      </c>
      <c r="I443" s="6179" t="s">
        <v>1634</v>
      </c>
    </row>
    <row customHeight="1" ht="11.25">
      <c r="A444" s="6179" t="s">
        <v>2262</v>
      </c>
      <c r="B444" s="6179" t="s">
        <v>16</v>
      </c>
      <c r="C444" s="6179" t="s">
        <v>2418</v>
      </c>
      <c r="D444" s="6179" t="s">
        <v>2419</v>
      </c>
      <c r="E444" s="6179" t="s">
        <v>2420</v>
      </c>
      <c r="F444" s="6179" t="s">
        <v>2294</v>
      </c>
      <c r="G444" s="6179" t="s">
        <v>28</v>
      </c>
      <c r="H444" s="6179" t="s">
        <v>28</v>
      </c>
      <c r="I444" s="6179" t="s">
        <v>1634</v>
      </c>
    </row>
    <row customHeight="1" ht="11.25">
      <c r="A445" s="6179" t="s">
        <v>2262</v>
      </c>
      <c r="B445" s="6179" t="s">
        <v>16</v>
      </c>
      <c r="C445" s="6179" t="s">
        <v>3046</v>
      </c>
      <c r="D445" s="6179" t="s">
        <v>3047</v>
      </c>
      <c r="E445" s="6179" t="s">
        <v>3048</v>
      </c>
      <c r="F445" s="6179" t="s">
        <v>2388</v>
      </c>
      <c r="G445" s="6179" t="s">
        <v>28</v>
      </c>
      <c r="H445" s="6179" t="s">
        <v>28</v>
      </c>
      <c r="I445" s="6179" t="s">
        <v>1634</v>
      </c>
    </row>
    <row customHeight="1" ht="11.25">
      <c r="A446" s="6179" t="s">
        <v>2262</v>
      </c>
      <c r="B446" s="6179" t="s">
        <v>16</v>
      </c>
      <c r="C446" s="6179" t="s">
        <v>2425</v>
      </c>
      <c r="D446" s="6179" t="s">
        <v>2426</v>
      </c>
      <c r="E446" s="6179" t="s">
        <v>2427</v>
      </c>
      <c r="F446" s="6179" t="s">
        <v>2428</v>
      </c>
      <c r="G446" s="6179" t="s">
        <v>28</v>
      </c>
      <c r="H446" s="6179" t="s">
        <v>28</v>
      </c>
      <c r="I446" s="6179" t="s">
        <v>1634</v>
      </c>
    </row>
    <row customHeight="1" ht="11.25">
      <c r="A447" s="6179" t="s">
        <v>2262</v>
      </c>
      <c r="B447" s="6179" t="s">
        <v>16</v>
      </c>
      <c r="C447" s="6179" t="s">
        <v>2429</v>
      </c>
      <c r="D447" s="6179" t="s">
        <v>2430</v>
      </c>
      <c r="E447" s="6179" t="s">
        <v>2431</v>
      </c>
      <c r="F447" s="6179" t="s">
        <v>2428</v>
      </c>
      <c r="G447" s="6179" t="s">
        <v>28</v>
      </c>
      <c r="H447" s="6179" t="s">
        <v>28</v>
      </c>
      <c r="I447" s="6179" t="s">
        <v>1634</v>
      </c>
    </row>
    <row customHeight="1" ht="11.25">
      <c r="A448" s="6179" t="s">
        <v>2262</v>
      </c>
      <c r="B448" s="6179" t="s">
        <v>16</v>
      </c>
      <c r="C448" s="6179" t="s">
        <v>3049</v>
      </c>
      <c r="D448" s="6179" t="s">
        <v>3050</v>
      </c>
      <c r="E448" s="6179" t="s">
        <v>3051</v>
      </c>
      <c r="F448" s="6179" t="s">
        <v>2435</v>
      </c>
      <c r="G448" s="6179" t="s">
        <v>3052</v>
      </c>
      <c r="H448" s="6179" t="s">
        <v>28</v>
      </c>
      <c r="I448" s="6179" t="s">
        <v>1634</v>
      </c>
    </row>
    <row customHeight="1" ht="11.25">
      <c r="A449" s="6179" t="s">
        <v>2262</v>
      </c>
      <c r="B449" s="6179" t="s">
        <v>16</v>
      </c>
      <c r="C449" s="6179" t="s">
        <v>3053</v>
      </c>
      <c r="D449" s="6179" t="s">
        <v>3054</v>
      </c>
      <c r="E449" s="6179" t="s">
        <v>3055</v>
      </c>
      <c r="F449" s="6179" t="s">
        <v>2417</v>
      </c>
      <c r="G449" s="6179" t="s">
        <v>28</v>
      </c>
      <c r="H449" s="6179" t="s">
        <v>28</v>
      </c>
      <c r="I449" s="6179" t="s">
        <v>1634</v>
      </c>
    </row>
    <row customHeight="1" ht="11.25">
      <c r="A450" s="6179" t="s">
        <v>2262</v>
      </c>
      <c r="B450" s="6179" t="s">
        <v>16</v>
      </c>
      <c r="C450" s="6179" t="s">
        <v>3056</v>
      </c>
      <c r="D450" s="6179" t="s">
        <v>3057</v>
      </c>
      <c r="E450" s="6179" t="s">
        <v>3058</v>
      </c>
      <c r="F450" s="6179" t="s">
        <v>52</v>
      </c>
      <c r="G450" s="6179" t="s">
        <v>28</v>
      </c>
      <c r="H450" s="6179" t="s">
        <v>28</v>
      </c>
      <c r="I450" s="6179" t="s">
        <v>1634</v>
      </c>
    </row>
    <row customHeight="1" ht="11.25">
      <c r="A451" s="6179" t="s">
        <v>2262</v>
      </c>
      <c r="B451" s="6179" t="s">
        <v>16</v>
      </c>
      <c r="C451" s="6179" t="s">
        <v>3059</v>
      </c>
      <c r="D451" s="6179" t="s">
        <v>3060</v>
      </c>
      <c r="E451" s="6179" t="s">
        <v>3061</v>
      </c>
      <c r="F451" s="6179" t="s">
        <v>2265</v>
      </c>
      <c r="G451" s="6179" t="s">
        <v>3062</v>
      </c>
      <c r="H451" s="6179" t="s">
        <v>28</v>
      </c>
      <c r="I451" s="6179" t="s">
        <v>1634</v>
      </c>
    </row>
    <row customHeight="1" ht="11.25">
      <c r="A452" s="6179" t="s">
        <v>2262</v>
      </c>
      <c r="B452" s="6179" t="s">
        <v>16</v>
      </c>
      <c r="C452" s="6179" t="s">
        <v>3063</v>
      </c>
      <c r="D452" s="6179" t="s">
        <v>3064</v>
      </c>
      <c r="E452" s="6179" t="s">
        <v>3065</v>
      </c>
      <c r="F452" s="6179" t="s">
        <v>2456</v>
      </c>
      <c r="G452" s="6179" t="s">
        <v>3066</v>
      </c>
      <c r="H452" s="6179" t="s">
        <v>28</v>
      </c>
      <c r="I452" s="6179" t="s">
        <v>1634</v>
      </c>
    </row>
    <row customHeight="1" ht="11.25">
      <c r="A453" s="6179" t="s">
        <v>2262</v>
      </c>
      <c r="B453" s="6179" t="s">
        <v>16</v>
      </c>
      <c r="C453" s="6179" t="s">
        <v>3067</v>
      </c>
      <c r="D453" s="6179" t="s">
        <v>3068</v>
      </c>
      <c r="E453" s="6179" t="s">
        <v>3069</v>
      </c>
      <c r="F453" s="6179" t="s">
        <v>2507</v>
      </c>
      <c r="G453" s="6179" t="s">
        <v>3070</v>
      </c>
      <c r="H453" s="6179" t="s">
        <v>28</v>
      </c>
      <c r="I453" s="6179" t="s">
        <v>1634</v>
      </c>
    </row>
    <row customHeight="1" ht="11.25">
      <c r="A454" s="6179" t="s">
        <v>2262</v>
      </c>
      <c r="B454" s="6179" t="s">
        <v>16</v>
      </c>
      <c r="C454" s="6179" t="s">
        <v>3071</v>
      </c>
      <c r="D454" s="6179" t="s">
        <v>3072</v>
      </c>
      <c r="E454" s="6179" t="s">
        <v>3073</v>
      </c>
      <c r="F454" s="6179" t="s">
        <v>2535</v>
      </c>
      <c r="G454" s="6179" t="s">
        <v>3074</v>
      </c>
      <c r="H454" s="6179" t="s">
        <v>28</v>
      </c>
      <c r="I454" s="6179" t="s">
        <v>1634</v>
      </c>
    </row>
    <row customHeight="1" ht="11.25">
      <c r="A455" s="6179" t="s">
        <v>2262</v>
      </c>
      <c r="B455" s="6179" t="s">
        <v>16</v>
      </c>
      <c r="C455" s="6179" t="s">
        <v>3075</v>
      </c>
      <c r="D455" s="6179" t="s">
        <v>3076</v>
      </c>
      <c r="E455" s="6179" t="s">
        <v>3077</v>
      </c>
      <c r="F455" s="6179" t="s">
        <v>2603</v>
      </c>
      <c r="G455" s="6179" t="s">
        <v>3078</v>
      </c>
      <c r="H455" s="6179" t="s">
        <v>28</v>
      </c>
      <c r="I455" s="6179" t="s">
        <v>1634</v>
      </c>
    </row>
    <row customHeight="1" ht="11.25">
      <c r="A456" s="6179" t="s">
        <v>2262</v>
      </c>
      <c r="B456" s="6179" t="s">
        <v>16</v>
      </c>
      <c r="C456" s="6179" t="s">
        <v>3079</v>
      </c>
      <c r="D456" s="6179" t="s">
        <v>3080</v>
      </c>
      <c r="E456" s="6179" t="s">
        <v>3081</v>
      </c>
      <c r="F456" s="6179" t="s">
        <v>2771</v>
      </c>
      <c r="G456" s="6179" t="s">
        <v>3082</v>
      </c>
      <c r="H456" s="6179" t="s">
        <v>28</v>
      </c>
      <c r="I456" s="6179" t="s">
        <v>1634</v>
      </c>
    </row>
    <row customHeight="1" ht="11.25">
      <c r="A457" s="6179" t="s">
        <v>2262</v>
      </c>
      <c r="B457" s="6179" t="s">
        <v>16</v>
      </c>
      <c r="C457" s="6179" t="s">
        <v>2872</v>
      </c>
      <c r="D457" s="6179" t="s">
        <v>2873</v>
      </c>
      <c r="E457" s="6179" t="s">
        <v>2874</v>
      </c>
      <c r="F457" s="6179" t="s">
        <v>2494</v>
      </c>
      <c r="G457" s="6179" t="s">
        <v>28</v>
      </c>
      <c r="H457" s="6179" t="s">
        <v>28</v>
      </c>
      <c r="I457" s="6179" t="s">
        <v>1634</v>
      </c>
    </row>
    <row customHeight="1" ht="11.25">
      <c r="A458" s="6179" t="s">
        <v>2262</v>
      </c>
      <c r="B458" s="6179" t="s">
        <v>16</v>
      </c>
      <c r="C458" s="6179" t="s">
        <v>3083</v>
      </c>
      <c r="D458" s="6179" t="s">
        <v>3084</v>
      </c>
      <c r="E458" s="6179" t="s">
        <v>3085</v>
      </c>
      <c r="F458" s="6179" t="s">
        <v>2685</v>
      </c>
      <c r="G458" s="6179" t="s">
        <v>3086</v>
      </c>
      <c r="H458" s="6179" t="s">
        <v>28</v>
      </c>
      <c r="I458" s="6179" t="s">
        <v>1634</v>
      </c>
    </row>
    <row customHeight="1" ht="11.25">
      <c r="A459" s="6179" t="s">
        <v>2262</v>
      </c>
      <c r="B459" s="6179" t="s">
        <v>16</v>
      </c>
      <c r="C459" s="6179" t="s">
        <v>3087</v>
      </c>
      <c r="D459" s="6179" t="s">
        <v>3088</v>
      </c>
      <c r="E459" s="6179" t="s">
        <v>3089</v>
      </c>
      <c r="F459" s="6179" t="s">
        <v>2322</v>
      </c>
      <c r="G459" s="6179" t="s">
        <v>28</v>
      </c>
      <c r="H459" s="6179" t="s">
        <v>28</v>
      </c>
      <c r="I459" s="6179" t="s">
        <v>1634</v>
      </c>
    </row>
    <row customHeight="1" ht="11.25">
      <c r="A460" s="6179" t="s">
        <v>2262</v>
      </c>
      <c r="B460" s="6179" t="s">
        <v>16</v>
      </c>
      <c r="C460" s="6179" t="s">
        <v>3090</v>
      </c>
      <c r="D460" s="6179" t="s">
        <v>3091</v>
      </c>
      <c r="E460" s="6179" t="s">
        <v>3092</v>
      </c>
      <c r="F460" s="6179" t="s">
        <v>2269</v>
      </c>
      <c r="G460" s="6179" t="s">
        <v>3093</v>
      </c>
      <c r="H460" s="6179" t="s">
        <v>28</v>
      </c>
      <c r="I460" s="6179" t="s">
        <v>1634</v>
      </c>
    </row>
    <row customHeight="1" ht="11.25">
      <c r="A461" s="6179" t="s">
        <v>2262</v>
      </c>
      <c r="B461" s="6179" t="s">
        <v>16</v>
      </c>
      <c r="C461" s="6179" t="s">
        <v>3094</v>
      </c>
      <c r="D461" s="6179" t="s">
        <v>3095</v>
      </c>
      <c r="E461" s="6179" t="s">
        <v>3096</v>
      </c>
      <c r="F461" s="6179" t="s">
        <v>2582</v>
      </c>
      <c r="G461" s="6179" t="s">
        <v>28</v>
      </c>
      <c r="H461" s="6179" t="s">
        <v>28</v>
      </c>
      <c r="I461" s="6179" t="s">
        <v>1634</v>
      </c>
    </row>
    <row customHeight="1" ht="11.25">
      <c r="A462" s="6179" t="s">
        <v>2262</v>
      </c>
      <c r="B462" s="6179" t="s">
        <v>16</v>
      </c>
      <c r="C462" s="6179" t="s">
        <v>3097</v>
      </c>
      <c r="D462" s="6179" t="s">
        <v>3098</v>
      </c>
      <c r="E462" s="6179" t="s">
        <v>3099</v>
      </c>
      <c r="F462" s="6179" t="s">
        <v>2417</v>
      </c>
      <c r="G462" s="6179" t="s">
        <v>3100</v>
      </c>
      <c r="H462" s="6179" t="s">
        <v>28</v>
      </c>
      <c r="I462" s="6179" t="s">
        <v>1634</v>
      </c>
    </row>
    <row customHeight="1" ht="11.25">
      <c r="A463" s="6179" t="s">
        <v>2262</v>
      </c>
      <c r="B463" s="6179" t="s">
        <v>16</v>
      </c>
      <c r="C463" s="6179" t="s">
        <v>3101</v>
      </c>
      <c r="D463" s="6179" t="s">
        <v>3102</v>
      </c>
      <c r="E463" s="6179" t="s">
        <v>3103</v>
      </c>
      <c r="F463" s="6179" t="s">
        <v>2524</v>
      </c>
      <c r="G463" s="6179" t="s">
        <v>28</v>
      </c>
      <c r="H463" s="6179" t="s">
        <v>28</v>
      </c>
      <c r="I463" s="6179" t="s">
        <v>1634</v>
      </c>
    </row>
    <row customHeight="1" ht="11.25">
      <c r="A464" s="6179" t="s">
        <v>2262</v>
      </c>
      <c r="B464" s="6179" t="s">
        <v>16</v>
      </c>
      <c r="C464" s="6179" t="s">
        <v>3104</v>
      </c>
      <c r="D464" s="6179" t="s">
        <v>3105</v>
      </c>
      <c r="E464" s="6179" t="s">
        <v>3106</v>
      </c>
      <c r="F464" s="6179" t="s">
        <v>2269</v>
      </c>
      <c r="G464" s="6179" t="s">
        <v>3107</v>
      </c>
      <c r="H464" s="6179" t="s">
        <v>28</v>
      </c>
      <c r="I464" s="6179" t="s">
        <v>1634</v>
      </c>
    </row>
    <row customHeight="1" ht="11.25">
      <c r="A465" s="6179" t="s">
        <v>2262</v>
      </c>
      <c r="B465" s="6179" t="s">
        <v>16</v>
      </c>
      <c r="C465" s="6179" t="s">
        <v>3108</v>
      </c>
      <c r="D465" s="6179" t="s">
        <v>3109</v>
      </c>
      <c r="E465" s="6179" t="s">
        <v>3110</v>
      </c>
      <c r="F465" s="6179" t="s">
        <v>2265</v>
      </c>
      <c r="G465" s="6179" t="s">
        <v>3111</v>
      </c>
      <c r="H465" s="6179" t="s">
        <v>28</v>
      </c>
      <c r="I465" s="6179" t="s">
        <v>1634</v>
      </c>
    </row>
    <row customHeight="1" ht="11.25">
      <c r="A466" s="6179" t="s">
        <v>2262</v>
      </c>
      <c r="B466" s="6179" t="s">
        <v>16</v>
      </c>
      <c r="C466" s="6179" t="s">
        <v>3112</v>
      </c>
      <c r="D466" s="6179" t="s">
        <v>3113</v>
      </c>
      <c r="E466" s="6179" t="s">
        <v>3114</v>
      </c>
      <c r="F466" s="6179" t="s">
        <v>2367</v>
      </c>
      <c r="G466" s="6179" t="s">
        <v>28</v>
      </c>
      <c r="H466" s="6179" t="s">
        <v>28</v>
      </c>
      <c r="I466" s="6179" t="s">
        <v>1634</v>
      </c>
    </row>
    <row customHeight="1" ht="11.25">
      <c r="A467" s="6179" t="s">
        <v>2262</v>
      </c>
      <c r="B467" s="6179" t="s">
        <v>16</v>
      </c>
      <c r="C467" s="6179" t="s">
        <v>3115</v>
      </c>
      <c r="D467" s="6179" t="s">
        <v>3116</v>
      </c>
      <c r="E467" s="6179" t="s">
        <v>3117</v>
      </c>
      <c r="F467" s="6179" t="s">
        <v>2294</v>
      </c>
      <c r="G467" s="6179" t="s">
        <v>3118</v>
      </c>
      <c r="H467" s="6179" t="s">
        <v>28</v>
      </c>
      <c r="I467" s="6179" t="s">
        <v>1634</v>
      </c>
    </row>
    <row customHeight="1" ht="11.25">
      <c r="A468" s="6179" t="s">
        <v>2262</v>
      </c>
      <c r="B468" s="6179" t="s">
        <v>16</v>
      </c>
      <c r="C468" s="6179" t="s">
        <v>2917</v>
      </c>
      <c r="D468" s="6179" t="s">
        <v>2918</v>
      </c>
      <c r="E468" s="6179" t="s">
        <v>2919</v>
      </c>
      <c r="F468" s="6179" t="s">
        <v>2442</v>
      </c>
      <c r="G468" s="6179" t="s">
        <v>28</v>
      </c>
      <c r="H468" s="6179" t="s">
        <v>28</v>
      </c>
      <c r="I468" s="6179" t="s">
        <v>1634</v>
      </c>
    </row>
    <row customHeight="1" ht="11.25">
      <c r="A469" s="6179" t="s">
        <v>2262</v>
      </c>
      <c r="B469" s="6179" t="s">
        <v>16</v>
      </c>
      <c r="C469" s="6179" t="s">
        <v>3119</v>
      </c>
      <c r="D469" s="6179" t="s">
        <v>3120</v>
      </c>
      <c r="E469" s="6179" t="s">
        <v>3121</v>
      </c>
      <c r="F469" s="6179" t="s">
        <v>2265</v>
      </c>
      <c r="G469" s="6179" t="s">
        <v>3122</v>
      </c>
      <c r="H469" s="6179" t="s">
        <v>28</v>
      </c>
      <c r="I469" s="6179" t="s">
        <v>1634</v>
      </c>
    </row>
    <row customHeight="1" ht="11.25">
      <c r="A470" s="6179" t="s">
        <v>2262</v>
      </c>
      <c r="B470" s="6179" t="s">
        <v>16</v>
      </c>
      <c r="C470" s="6179" t="s">
        <v>3123</v>
      </c>
      <c r="D470" s="6179" t="s">
        <v>3124</v>
      </c>
      <c r="E470" s="6179" t="s">
        <v>3125</v>
      </c>
      <c r="F470" s="6179" t="s">
        <v>2463</v>
      </c>
      <c r="G470" s="6179" t="s">
        <v>3126</v>
      </c>
      <c r="H470" s="6179" t="s">
        <v>28</v>
      </c>
      <c r="I470" s="6179" t="s">
        <v>1634</v>
      </c>
    </row>
    <row customHeight="1" ht="11.25">
      <c r="A471" s="6179" t="s">
        <v>2262</v>
      </c>
      <c r="B471" s="6179" t="s">
        <v>16</v>
      </c>
      <c r="C471" s="6179" t="s">
        <v>3127</v>
      </c>
      <c r="D471" s="6179" t="s">
        <v>3128</v>
      </c>
      <c r="E471" s="6179" t="s">
        <v>3129</v>
      </c>
      <c r="F471" s="6179" t="s">
        <v>2507</v>
      </c>
      <c r="G471" s="6179" t="s">
        <v>3130</v>
      </c>
      <c r="H471" s="6179" t="s">
        <v>28</v>
      </c>
      <c r="I471" s="6179" t="s">
        <v>1634</v>
      </c>
    </row>
    <row customHeight="1" ht="11.25">
      <c r="A472" s="6179" t="s">
        <v>2262</v>
      </c>
      <c r="B472" s="6179" t="s">
        <v>16</v>
      </c>
      <c r="C472" s="6179" t="s">
        <v>3131</v>
      </c>
      <c r="D472" s="6179" t="s">
        <v>3132</v>
      </c>
      <c r="E472" s="6179" t="s">
        <v>3133</v>
      </c>
      <c r="F472" s="6179" t="s">
        <v>2535</v>
      </c>
      <c r="G472" s="6179" t="s">
        <v>3134</v>
      </c>
      <c r="H472" s="6179" t="s">
        <v>28</v>
      </c>
      <c r="I472" s="6179" t="s">
        <v>1634</v>
      </c>
    </row>
    <row customHeight="1" ht="11.25">
      <c r="A473" s="6179" t="s">
        <v>2262</v>
      </c>
      <c r="B473" s="6179" t="s">
        <v>16</v>
      </c>
      <c r="C473" s="6179" t="s">
        <v>3135</v>
      </c>
      <c r="D473" s="6179" t="s">
        <v>3136</v>
      </c>
      <c r="E473" s="6179" t="s">
        <v>3137</v>
      </c>
      <c r="F473" s="6179" t="s">
        <v>2396</v>
      </c>
      <c r="G473" s="6179" t="s">
        <v>3138</v>
      </c>
      <c r="H473" s="6179" t="s">
        <v>28</v>
      </c>
      <c r="I473" s="6179" t="s">
        <v>1634</v>
      </c>
    </row>
    <row customHeight="1" ht="11.25">
      <c r="A474" s="6179" t="s">
        <v>2262</v>
      </c>
      <c r="B474" s="6179" t="s">
        <v>16</v>
      </c>
      <c r="C474" s="6179" t="s">
        <v>3139</v>
      </c>
      <c r="D474" s="6179" t="s">
        <v>3140</v>
      </c>
      <c r="E474" s="6179" t="s">
        <v>3141</v>
      </c>
      <c r="F474" s="6179" t="s">
        <v>2456</v>
      </c>
      <c r="G474" s="6179" t="s">
        <v>3142</v>
      </c>
      <c r="H474" s="6179" t="s">
        <v>28</v>
      </c>
      <c r="I474" s="6179" t="s">
        <v>1634</v>
      </c>
    </row>
    <row customHeight="1" ht="11.25">
      <c r="A475" s="6179" t="s">
        <v>2262</v>
      </c>
      <c r="B475" s="6179" t="s">
        <v>16</v>
      </c>
      <c r="C475" s="6179" t="s">
        <v>3143</v>
      </c>
      <c r="D475" s="6179" t="s">
        <v>3144</v>
      </c>
      <c r="E475" s="6179" t="s">
        <v>3145</v>
      </c>
      <c r="F475" s="6179" t="s">
        <v>2313</v>
      </c>
      <c r="G475" s="6179" t="s">
        <v>3146</v>
      </c>
      <c r="H475" s="6179" t="s">
        <v>28</v>
      </c>
      <c r="I475" s="6179" t="s">
        <v>1634</v>
      </c>
    </row>
    <row customHeight="1" ht="11.25">
      <c r="A476" s="6179" t="s">
        <v>2262</v>
      </c>
      <c r="B476" s="6179" t="s">
        <v>16</v>
      </c>
      <c r="C476" s="6179" t="s">
        <v>3147</v>
      </c>
      <c r="D476" s="6179" t="s">
        <v>3148</v>
      </c>
      <c r="E476" s="6179" t="s">
        <v>3149</v>
      </c>
      <c r="F476" s="6179" t="s">
        <v>2535</v>
      </c>
      <c r="G476" s="6179" t="s">
        <v>28</v>
      </c>
      <c r="H476" s="6179" t="s">
        <v>28</v>
      </c>
      <c r="I476" s="6179" t="s">
        <v>1634</v>
      </c>
    </row>
    <row customHeight="1" ht="11.25">
      <c r="A477" s="6179" t="s">
        <v>2262</v>
      </c>
      <c r="B477" s="6179" t="s">
        <v>16</v>
      </c>
      <c r="C477" s="6179" t="s">
        <v>3150</v>
      </c>
      <c r="D477" s="6179" t="s">
        <v>3151</v>
      </c>
      <c r="E477" s="6179" t="s">
        <v>3152</v>
      </c>
      <c r="F477" s="6179" t="s">
        <v>2456</v>
      </c>
      <c r="G477" s="6179" t="s">
        <v>3153</v>
      </c>
      <c r="H477" s="6179" t="s">
        <v>28</v>
      </c>
      <c r="I477" s="6179" t="s">
        <v>1634</v>
      </c>
    </row>
    <row customHeight="1" ht="11.25">
      <c r="A478" s="6179" t="s">
        <v>2262</v>
      </c>
      <c r="B478" s="6179" t="s">
        <v>16</v>
      </c>
      <c r="C478" s="6179" t="s">
        <v>3154</v>
      </c>
      <c r="D478" s="6179" t="s">
        <v>3155</v>
      </c>
      <c r="E478" s="6179" t="s">
        <v>3156</v>
      </c>
      <c r="F478" s="6179" t="s">
        <v>52</v>
      </c>
      <c r="G478" s="6179" t="s">
        <v>3157</v>
      </c>
      <c r="H478" s="6179" t="s">
        <v>28</v>
      </c>
      <c r="I478" s="6179" t="s">
        <v>1634</v>
      </c>
    </row>
    <row customHeight="1" ht="11.25">
      <c r="A479" s="6179" t="s">
        <v>2262</v>
      </c>
      <c r="B479" s="6179" t="s">
        <v>16</v>
      </c>
      <c r="C479" s="6179" t="s">
        <v>3158</v>
      </c>
      <c r="D479" s="6179" t="s">
        <v>3159</v>
      </c>
      <c r="E479" s="6179" t="s">
        <v>3160</v>
      </c>
      <c r="F479" s="6179" t="s">
        <v>2269</v>
      </c>
      <c r="G479" s="6179" t="s">
        <v>3161</v>
      </c>
      <c r="H479" s="6179" t="s">
        <v>28</v>
      </c>
      <c r="I479" s="6179" t="s">
        <v>1634</v>
      </c>
    </row>
    <row customHeight="1" ht="11.25">
      <c r="A480" s="6179" t="s">
        <v>2262</v>
      </c>
      <c r="B480" s="6179" t="s">
        <v>16</v>
      </c>
      <c r="C480" s="6179" t="s">
        <v>3162</v>
      </c>
      <c r="D480" s="6179" t="s">
        <v>3163</v>
      </c>
      <c r="E480" s="6179" t="s">
        <v>3164</v>
      </c>
      <c r="F480" s="6179" t="s">
        <v>2269</v>
      </c>
      <c r="G480" s="6179" t="s">
        <v>3165</v>
      </c>
      <c r="H480" s="6179" t="s">
        <v>28</v>
      </c>
      <c r="I480" s="6179" t="s">
        <v>1634</v>
      </c>
    </row>
    <row customHeight="1" ht="11.25">
      <c r="A481" s="6179" t="s">
        <v>2262</v>
      </c>
      <c r="B481" s="6179" t="s">
        <v>16</v>
      </c>
      <c r="C481" s="6179" t="s">
        <v>3166</v>
      </c>
      <c r="D481" s="6179" t="s">
        <v>3167</v>
      </c>
      <c r="E481" s="6179" t="s">
        <v>3168</v>
      </c>
      <c r="F481" s="6179" t="s">
        <v>2388</v>
      </c>
      <c r="G481" s="6179" t="s">
        <v>3169</v>
      </c>
      <c r="H481" s="6179" t="s">
        <v>28</v>
      </c>
      <c r="I481" s="6179" t="s">
        <v>1634</v>
      </c>
    </row>
    <row customHeight="1" ht="11.25">
      <c r="A482" s="6179" t="s">
        <v>2262</v>
      </c>
      <c r="B482" s="6179" t="s">
        <v>16</v>
      </c>
      <c r="C482" s="6179" t="s">
        <v>3170</v>
      </c>
      <c r="D482" s="6179" t="s">
        <v>3171</v>
      </c>
      <c r="E482" s="6179" t="s">
        <v>3172</v>
      </c>
      <c r="F482" s="6179" t="s">
        <v>2965</v>
      </c>
      <c r="G482" s="6179" t="s">
        <v>3173</v>
      </c>
      <c r="H482" s="6179" t="s">
        <v>28</v>
      </c>
      <c r="I482" s="6179" t="s">
        <v>1634</v>
      </c>
    </row>
    <row customHeight="1" ht="11.25">
      <c r="A483" s="6179" t="s">
        <v>2262</v>
      </c>
      <c r="B483" s="6179" t="s">
        <v>16</v>
      </c>
      <c r="C483" s="6179" t="s">
        <v>3174</v>
      </c>
      <c r="D483" s="6179" t="s">
        <v>3175</v>
      </c>
      <c r="E483" s="6179" t="s">
        <v>3176</v>
      </c>
      <c r="F483" s="6179" t="s">
        <v>2322</v>
      </c>
      <c r="G483" s="6179" t="s">
        <v>28</v>
      </c>
      <c r="H483" s="6179" t="s">
        <v>28</v>
      </c>
      <c r="I483" s="6179" t="s">
        <v>1634</v>
      </c>
    </row>
    <row customHeight="1" ht="11.25">
      <c r="A484" s="6179" t="s">
        <v>2262</v>
      </c>
      <c r="B484" s="6179" t="s">
        <v>16</v>
      </c>
      <c r="C484" s="6179" t="s">
        <v>3177</v>
      </c>
      <c r="D484" s="6179" t="s">
        <v>3178</v>
      </c>
      <c r="E484" s="6179" t="s">
        <v>3179</v>
      </c>
      <c r="F484" s="6179" t="s">
        <v>2435</v>
      </c>
      <c r="G484" s="6179" t="s">
        <v>28</v>
      </c>
      <c r="H484" s="6179" t="s">
        <v>28</v>
      </c>
      <c r="I484" s="6179" t="s">
        <v>1634</v>
      </c>
    </row>
    <row customHeight="1" ht="11.25">
      <c r="A485" s="6179" t="s">
        <v>2262</v>
      </c>
      <c r="B485" s="6179" t="s">
        <v>16</v>
      </c>
      <c r="C485" s="6179" t="s">
        <v>3180</v>
      </c>
      <c r="D485" s="6179" t="s">
        <v>3181</v>
      </c>
      <c r="E485" s="6179" t="s">
        <v>3182</v>
      </c>
      <c r="F485" s="6179" t="s">
        <v>2269</v>
      </c>
      <c r="G485" s="6179" t="s">
        <v>28</v>
      </c>
      <c r="H485" s="6179" t="s">
        <v>28</v>
      </c>
      <c r="I485" s="6179" t="s">
        <v>1634</v>
      </c>
    </row>
    <row customHeight="1" ht="11.25">
      <c r="A486" s="6179" t="s">
        <v>2262</v>
      </c>
      <c r="B486" s="6179" t="s">
        <v>16</v>
      </c>
      <c r="C486" s="6179" t="s">
        <v>3183</v>
      </c>
      <c r="D486" s="6179" t="s">
        <v>3184</v>
      </c>
      <c r="E486" s="6179" t="s">
        <v>3185</v>
      </c>
      <c r="F486" s="6179" t="s">
        <v>2659</v>
      </c>
      <c r="G486" s="6179" t="s">
        <v>28</v>
      </c>
      <c r="H486" s="6179" t="s">
        <v>28</v>
      </c>
      <c r="I486" s="6179"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ED731-13DB-9207-4A7A-DD768262F7EB}" mc:Ignorable="x14ac xr xr2 xr3">
  <sheetPr>
    <tabColor rgb="FFFFCC99"/>
  </sheetPr>
  <dimension ref="A1:G107"/>
  <sheetViews>
    <sheetView topLeftCell="A1" showGridLines="0" workbookViewId="0">
      <selection activeCell="A1" sqref="A1"/>
    </sheetView>
  </sheetViews>
  <sheetFormatPr customHeight="1" defaultRowHeight="11.25"/>
  <cols>
    <col min="1" max="1" style="13282" width="9.140625"/>
  </cols>
  <sheetData>
    <row customHeight="1" ht="11.25">
      <c r="A1" s="600" t="s">
        <v>3186</v>
      </c>
      <c r="B1" s="289" t="s">
        <v>3187</v>
      </c>
      <c r="C1" s="289" t="s">
        <v>3188</v>
      </c>
      <c r="D1" s="289" t="s">
        <v>3189</v>
      </c>
      <c r="E1" s="176" t="s">
        <v>3190</v>
      </c>
      <c r="F1" s="176" t="s">
        <v>3191</v>
      </c>
      <c r="G1" s="176" t="s">
        <v>3192</v>
      </c>
    </row>
    <row customHeight="1" ht="11.25">
      <c r="A2" s="600" t="s">
        <v>16</v>
      </c>
      <c r="B2" s="0" t="s">
        <v>3193</v>
      </c>
      <c r="C2" s="0" t="s">
        <v>3194</v>
      </c>
      <c r="D2" s="0" t="s">
        <v>3193</v>
      </c>
      <c r="E2" s="0" t="s">
        <v>3194</v>
      </c>
      <c r="F2" s="0" t="s">
        <v>3195</v>
      </c>
      <c r="G2" s="0" t="s">
        <v>109</v>
      </c>
    </row>
    <row customHeight="1" ht="11.25">
      <c r="A3" s="600" t="s">
        <v>16</v>
      </c>
      <c r="B3" s="0" t="s">
        <v>3196</v>
      </c>
      <c r="C3" s="0" t="s">
        <v>3197</v>
      </c>
      <c r="D3" s="0" t="s">
        <v>3196</v>
      </c>
      <c r="E3" s="0" t="s">
        <v>3197</v>
      </c>
      <c r="F3" s="0" t="s">
        <v>3198</v>
      </c>
      <c r="G3" s="0" t="s">
        <v>110</v>
      </c>
    </row>
    <row customHeight="1" ht="11.25">
      <c r="A4" s="600" t="s">
        <v>16</v>
      </c>
      <c r="B4" s="0" t="s">
        <v>3199</v>
      </c>
      <c r="C4" s="0" t="s">
        <v>3200</v>
      </c>
      <c r="D4" s="0" t="s">
        <v>3199</v>
      </c>
      <c r="E4" s="0" t="s">
        <v>3200</v>
      </c>
      <c r="F4" s="0" t="s">
        <v>3198</v>
      </c>
      <c r="G4" s="0" t="s">
        <v>90</v>
      </c>
    </row>
    <row customHeight="1" ht="11.25">
      <c r="A5" s="600" t="s">
        <v>16</v>
      </c>
      <c r="B5" s="0" t="s">
        <v>3201</v>
      </c>
      <c r="C5" s="0" t="s">
        <v>3202</v>
      </c>
      <c r="D5" s="0" t="s">
        <v>3201</v>
      </c>
      <c r="E5" s="0" t="s">
        <v>3202</v>
      </c>
      <c r="F5" s="0" t="s">
        <v>3198</v>
      </c>
      <c r="G5" s="0" t="s">
        <v>91</v>
      </c>
    </row>
    <row customHeight="1" ht="11.25">
      <c r="A6" s="600" t="s">
        <v>16</v>
      </c>
      <c r="B6" s="0" t="s">
        <v>3203</v>
      </c>
      <c r="C6" s="0" t="s">
        <v>3204</v>
      </c>
      <c r="D6" s="0" t="s">
        <v>3203</v>
      </c>
      <c r="E6" s="0" t="s">
        <v>3204</v>
      </c>
      <c r="F6" s="0" t="s">
        <v>3198</v>
      </c>
      <c r="G6" s="0" t="s">
        <v>111</v>
      </c>
    </row>
    <row customHeight="1" ht="11.25">
      <c r="A7" s="600" t="s">
        <v>16</v>
      </c>
      <c r="B7" s="0" t="s">
        <v>3205</v>
      </c>
      <c r="C7" s="0" t="s">
        <v>3206</v>
      </c>
      <c r="D7" s="0" t="s">
        <v>3205</v>
      </c>
      <c r="E7" s="0" t="s">
        <v>3206</v>
      </c>
      <c r="F7" s="0" t="s">
        <v>3198</v>
      </c>
      <c r="G7" s="0" t="s">
        <v>92</v>
      </c>
    </row>
    <row customHeight="1" ht="11.25">
      <c r="A8" s="600" t="s">
        <v>16</v>
      </c>
      <c r="B8" s="0" t="s">
        <v>3207</v>
      </c>
      <c r="C8" s="0" t="s">
        <v>3208</v>
      </c>
      <c r="D8" s="0" t="s">
        <v>3207</v>
      </c>
      <c r="E8" s="0" t="s">
        <v>3208</v>
      </c>
      <c r="F8" s="0" t="s">
        <v>3198</v>
      </c>
      <c r="G8" s="0" t="s">
        <v>93</v>
      </c>
    </row>
    <row customHeight="1" ht="11.25">
      <c r="A9" s="600" t="s">
        <v>16</v>
      </c>
      <c r="B9" s="0" t="s">
        <v>3209</v>
      </c>
      <c r="C9" s="0" t="s">
        <v>3210</v>
      </c>
      <c r="D9" s="0" t="s">
        <v>3211</v>
      </c>
      <c r="E9" s="0" t="s">
        <v>3212</v>
      </c>
      <c r="F9" s="0" t="s">
        <v>3213</v>
      </c>
      <c r="G9" s="0" t="s">
        <v>112</v>
      </c>
    </row>
    <row customHeight="1" ht="11.25">
      <c r="A10" s="600" t="s">
        <v>16</v>
      </c>
      <c r="B10" s="0" t="s">
        <v>3209</v>
      </c>
      <c r="C10" s="0" t="s">
        <v>3210</v>
      </c>
      <c r="D10" s="0" t="s">
        <v>3209</v>
      </c>
      <c r="E10" s="0" t="s">
        <v>3210</v>
      </c>
      <c r="F10" s="0" t="s">
        <v>3214</v>
      </c>
      <c r="G10" s="0" t="s">
        <v>148</v>
      </c>
    </row>
    <row customHeight="1" ht="11.25">
      <c r="A11" s="600" t="s">
        <v>16</v>
      </c>
      <c r="B11" s="0" t="s">
        <v>3209</v>
      </c>
      <c r="C11" s="0" t="s">
        <v>3210</v>
      </c>
      <c r="D11" s="0" t="s">
        <v>3215</v>
      </c>
      <c r="E11" s="0" t="s">
        <v>3216</v>
      </c>
      <c r="F11" s="0" t="s">
        <v>3213</v>
      </c>
      <c r="G11" s="0" t="s">
        <v>149</v>
      </c>
    </row>
    <row customHeight="1" ht="11.25">
      <c r="A12" s="600" t="s">
        <v>16</v>
      </c>
      <c r="B12" s="0" t="s">
        <v>3209</v>
      </c>
      <c r="C12" s="0" t="s">
        <v>3210</v>
      </c>
      <c r="D12" s="0" t="s">
        <v>3217</v>
      </c>
      <c r="E12" s="0" t="s">
        <v>3218</v>
      </c>
      <c r="F12" s="0" t="s">
        <v>3219</v>
      </c>
      <c r="G12" s="0" t="s">
        <v>150</v>
      </c>
    </row>
    <row customHeight="1" ht="11.25">
      <c r="A13" s="600" t="s">
        <v>16</v>
      </c>
      <c r="B13" s="0" t="s">
        <v>3209</v>
      </c>
      <c r="C13" s="0" t="s">
        <v>3210</v>
      </c>
      <c r="D13" s="0" t="s">
        <v>3220</v>
      </c>
      <c r="E13" s="0" t="s">
        <v>3221</v>
      </c>
      <c r="F13" s="0" t="s">
        <v>3213</v>
      </c>
      <c r="G13" s="0" t="s">
        <v>151</v>
      </c>
    </row>
    <row customHeight="1" ht="11.25">
      <c r="A14" s="600" t="s">
        <v>16</v>
      </c>
      <c r="B14" s="0" t="s">
        <v>3209</v>
      </c>
      <c r="C14" s="0" t="s">
        <v>3210</v>
      </c>
      <c r="D14" s="0" t="s">
        <v>3222</v>
      </c>
      <c r="E14" s="0" t="s">
        <v>3223</v>
      </c>
      <c r="F14" s="0" t="s">
        <v>3213</v>
      </c>
      <c r="G14" s="0" t="s">
        <v>152</v>
      </c>
    </row>
    <row customHeight="1" ht="11.25">
      <c r="A15" s="600" t="s">
        <v>16</v>
      </c>
      <c r="B15" s="0" t="s">
        <v>3209</v>
      </c>
      <c r="C15" s="0" t="s">
        <v>3210</v>
      </c>
      <c r="D15" s="0" t="s">
        <v>3224</v>
      </c>
      <c r="E15" s="0" t="s">
        <v>3225</v>
      </c>
      <c r="F15" s="0" t="s">
        <v>3213</v>
      </c>
      <c r="G15" s="0" t="s">
        <v>153</v>
      </c>
    </row>
    <row customHeight="1" ht="11.25">
      <c r="A16" s="600" t="s">
        <v>16</v>
      </c>
      <c r="B16" s="0" t="s">
        <v>3209</v>
      </c>
      <c r="C16" s="0" t="s">
        <v>3210</v>
      </c>
      <c r="D16" s="0" t="s">
        <v>3226</v>
      </c>
      <c r="E16" s="0" t="s">
        <v>3227</v>
      </c>
      <c r="F16" s="0" t="s">
        <v>3213</v>
      </c>
      <c r="G16" s="0" t="s">
        <v>1478</v>
      </c>
    </row>
    <row customHeight="1" ht="11.25">
      <c r="A17" s="600" t="s">
        <v>16</v>
      </c>
      <c r="B17" s="0" t="s">
        <v>3228</v>
      </c>
      <c r="C17" s="0" t="s">
        <v>3229</v>
      </c>
      <c r="D17" s="0" t="s">
        <v>3228</v>
      </c>
      <c r="E17" s="0" t="s">
        <v>3229</v>
      </c>
      <c r="F17" s="0" t="s">
        <v>3195</v>
      </c>
      <c r="G17" s="0" t="s">
        <v>1484</v>
      </c>
    </row>
    <row customHeight="1" ht="11.25">
      <c r="A18" s="600" t="s">
        <v>16</v>
      </c>
      <c r="B18" s="0" t="s">
        <v>3230</v>
      </c>
      <c r="C18" s="0" t="s">
        <v>3231</v>
      </c>
      <c r="D18" s="0" t="s">
        <v>3232</v>
      </c>
      <c r="E18" s="0" t="s">
        <v>3233</v>
      </c>
      <c r="F18" s="0" t="s">
        <v>3213</v>
      </c>
      <c r="G18" s="0" t="s">
        <v>1496</v>
      </c>
    </row>
    <row customHeight="1" ht="11.25">
      <c r="A19" s="600" t="s">
        <v>16</v>
      </c>
      <c r="B19" s="0" t="s">
        <v>3230</v>
      </c>
      <c r="C19" s="0" t="s">
        <v>3231</v>
      </c>
      <c r="D19" s="0" t="s">
        <v>3234</v>
      </c>
      <c r="E19" s="0" t="s">
        <v>3235</v>
      </c>
      <c r="F19" s="0" t="s">
        <v>3236</v>
      </c>
      <c r="G19" s="0" t="s">
        <v>1510</v>
      </c>
    </row>
    <row customHeight="1" ht="11.25">
      <c r="A20" s="600" t="s">
        <v>16</v>
      </c>
      <c r="B20" s="0" t="s">
        <v>3230</v>
      </c>
      <c r="C20" s="0" t="s">
        <v>3231</v>
      </c>
      <c r="D20" s="0" t="s">
        <v>3230</v>
      </c>
      <c r="E20" s="0" t="s">
        <v>3231</v>
      </c>
      <c r="F20" s="0" t="s">
        <v>3214</v>
      </c>
      <c r="G20" s="0" t="s">
        <v>1522</v>
      </c>
    </row>
    <row customHeight="1" ht="11.25">
      <c r="A21" s="600" t="s">
        <v>16</v>
      </c>
      <c r="B21" s="0" t="s">
        <v>3230</v>
      </c>
      <c r="C21" s="0" t="s">
        <v>3231</v>
      </c>
      <c r="D21" s="0" t="s">
        <v>3237</v>
      </c>
      <c r="E21" s="0" t="s">
        <v>3238</v>
      </c>
      <c r="F21" s="0" t="s">
        <v>3236</v>
      </c>
      <c r="G21" s="0" t="s">
        <v>1531</v>
      </c>
    </row>
    <row customHeight="1" ht="11.25">
      <c r="A22" s="600" t="s">
        <v>16</v>
      </c>
      <c r="B22" s="0" t="s">
        <v>3230</v>
      </c>
      <c r="C22" s="0" t="s">
        <v>3231</v>
      </c>
      <c r="D22" s="0" t="s">
        <v>3239</v>
      </c>
      <c r="E22" s="0" t="s">
        <v>3240</v>
      </c>
      <c r="F22" s="0" t="s">
        <v>3213</v>
      </c>
      <c r="G22" s="0" t="s">
        <v>1547</v>
      </c>
    </row>
    <row customHeight="1" ht="11.25">
      <c r="A23" s="600" t="s">
        <v>16</v>
      </c>
      <c r="B23" s="0" t="s">
        <v>3230</v>
      </c>
      <c r="C23" s="0" t="s">
        <v>3231</v>
      </c>
      <c r="D23" s="0" t="s">
        <v>3241</v>
      </c>
      <c r="E23" s="0" t="s">
        <v>3242</v>
      </c>
      <c r="F23" s="0" t="s">
        <v>3219</v>
      </c>
      <c r="G23" s="0" t="s">
        <v>1554</v>
      </c>
    </row>
    <row customHeight="1" ht="11.25">
      <c r="A24" s="600" t="s">
        <v>16</v>
      </c>
      <c r="B24" s="0" t="s">
        <v>3230</v>
      </c>
      <c r="C24" s="0" t="s">
        <v>3231</v>
      </c>
      <c r="D24" s="0" t="s">
        <v>3243</v>
      </c>
      <c r="E24" s="0" t="s">
        <v>3244</v>
      </c>
      <c r="F24" s="0" t="s">
        <v>3213</v>
      </c>
      <c r="G24" s="0" t="s">
        <v>1562</v>
      </c>
    </row>
    <row customHeight="1" ht="11.25">
      <c r="A25" s="600" t="s">
        <v>16</v>
      </c>
      <c r="B25" s="0" t="s">
        <v>3230</v>
      </c>
      <c r="C25" s="0" t="s">
        <v>3231</v>
      </c>
      <c r="D25" s="0" t="s">
        <v>3245</v>
      </c>
      <c r="E25" s="0" t="s">
        <v>3246</v>
      </c>
      <c r="F25" s="0" t="s">
        <v>3213</v>
      </c>
      <c r="G25" s="0" t="s">
        <v>1569</v>
      </c>
    </row>
    <row customHeight="1" ht="11.25">
      <c r="A26" s="600" t="s">
        <v>16</v>
      </c>
      <c r="B26" s="0" t="s">
        <v>3247</v>
      </c>
      <c r="C26" s="0" t="s">
        <v>3248</v>
      </c>
      <c r="D26" s="0" t="s">
        <v>3247</v>
      </c>
      <c r="E26" s="0" t="s">
        <v>3248</v>
      </c>
      <c r="F26" s="0" t="s">
        <v>3195</v>
      </c>
      <c r="G26" s="0" t="s">
        <v>1573</v>
      </c>
    </row>
    <row customHeight="1" ht="11.25">
      <c r="A27" s="600" t="s">
        <v>16</v>
      </c>
      <c r="B27" s="0" t="s">
        <v>3249</v>
      </c>
      <c r="C27" s="0" t="s">
        <v>3250</v>
      </c>
      <c r="D27" s="0" t="s">
        <v>3251</v>
      </c>
      <c r="E27" s="0" t="s">
        <v>3252</v>
      </c>
      <c r="F27" s="0" t="s">
        <v>3236</v>
      </c>
      <c r="G27" s="0" t="s">
        <v>1578</v>
      </c>
    </row>
    <row customHeight="1" ht="11.25">
      <c r="A28" s="600" t="s">
        <v>16</v>
      </c>
      <c r="B28" s="0" t="s">
        <v>3249</v>
      </c>
      <c r="C28" s="0" t="s">
        <v>3250</v>
      </c>
      <c r="D28" s="0" t="s">
        <v>3253</v>
      </c>
      <c r="E28" s="0" t="s">
        <v>3254</v>
      </c>
      <c r="F28" s="0" t="s">
        <v>3213</v>
      </c>
      <c r="G28" s="0" t="s">
        <v>1586</v>
      </c>
    </row>
    <row customHeight="1" ht="11.25">
      <c r="A29" s="600" t="s">
        <v>16</v>
      </c>
      <c r="B29" s="0" t="s">
        <v>3249</v>
      </c>
      <c r="C29" s="0" t="s">
        <v>3250</v>
      </c>
      <c r="D29" s="0" t="s">
        <v>3255</v>
      </c>
      <c r="E29" s="0" t="s">
        <v>3256</v>
      </c>
      <c r="F29" s="0" t="s">
        <v>3213</v>
      </c>
      <c r="G29" s="0" t="s">
        <v>1588</v>
      </c>
    </row>
    <row customHeight="1" ht="11.25">
      <c r="A30" s="600" t="s">
        <v>16</v>
      </c>
      <c r="B30" s="0" t="s">
        <v>3249</v>
      </c>
      <c r="C30" s="0" t="s">
        <v>3250</v>
      </c>
      <c r="D30" s="0" t="s">
        <v>3257</v>
      </c>
      <c r="E30" s="0" t="s">
        <v>3258</v>
      </c>
      <c r="F30" s="0" t="s">
        <v>3213</v>
      </c>
      <c r="G30" s="0" t="s">
        <v>1591</v>
      </c>
    </row>
    <row customHeight="1" ht="11.25">
      <c r="A31" s="600" t="s">
        <v>16</v>
      </c>
      <c r="B31" s="0" t="s">
        <v>3249</v>
      </c>
      <c r="C31" s="0" t="s">
        <v>3250</v>
      </c>
      <c r="D31" s="0" t="s">
        <v>3259</v>
      </c>
      <c r="E31" s="0" t="s">
        <v>3260</v>
      </c>
      <c r="F31" s="0" t="s">
        <v>3213</v>
      </c>
      <c r="G31" s="0" t="s">
        <v>1596</v>
      </c>
    </row>
    <row customHeight="1" ht="11.25">
      <c r="A32" s="600" t="s">
        <v>16</v>
      </c>
      <c r="B32" s="0" t="s">
        <v>3249</v>
      </c>
      <c r="C32" s="0" t="s">
        <v>3250</v>
      </c>
      <c r="D32" s="0" t="s">
        <v>3249</v>
      </c>
      <c r="E32" s="0" t="s">
        <v>3250</v>
      </c>
      <c r="F32" s="0" t="s">
        <v>3214</v>
      </c>
      <c r="G32" s="0" t="s">
        <v>1598</v>
      </c>
    </row>
    <row customHeight="1" ht="11.25">
      <c r="A33" s="600" t="s">
        <v>16</v>
      </c>
      <c r="B33" s="0" t="s">
        <v>3249</v>
      </c>
      <c r="C33" s="0" t="s">
        <v>3250</v>
      </c>
      <c r="D33" s="0" t="s">
        <v>3261</v>
      </c>
      <c r="E33" s="0" t="s">
        <v>3262</v>
      </c>
      <c r="F33" s="0" t="s">
        <v>3213</v>
      </c>
      <c r="G33" s="0" t="s">
        <v>1600</v>
      </c>
    </row>
    <row customHeight="1" ht="11.25">
      <c r="A34" s="600" t="s">
        <v>16</v>
      </c>
      <c r="B34" s="0" t="s">
        <v>3249</v>
      </c>
      <c r="C34" s="0" t="s">
        <v>3250</v>
      </c>
      <c r="D34" s="0" t="s">
        <v>3263</v>
      </c>
      <c r="E34" s="0" t="s">
        <v>3264</v>
      </c>
      <c r="F34" s="0" t="s">
        <v>3213</v>
      </c>
      <c r="G34" s="0" t="s">
        <v>1602</v>
      </c>
    </row>
    <row customHeight="1" ht="11.25">
      <c r="A35" s="600" t="s">
        <v>16</v>
      </c>
      <c r="B35" s="0" t="s">
        <v>3249</v>
      </c>
      <c r="C35" s="0" t="s">
        <v>3250</v>
      </c>
      <c r="D35" s="0" t="s">
        <v>3265</v>
      </c>
      <c r="E35" s="0" t="s">
        <v>3266</v>
      </c>
      <c r="F35" s="0" t="s">
        <v>3213</v>
      </c>
      <c r="G35" s="0" t="s">
        <v>1607</v>
      </c>
    </row>
    <row customHeight="1" ht="11.25">
      <c r="A36" s="600" t="s">
        <v>16</v>
      </c>
      <c r="B36" s="0" t="s">
        <v>3249</v>
      </c>
      <c r="C36" s="0" t="s">
        <v>3250</v>
      </c>
      <c r="D36" s="0" t="s">
        <v>3267</v>
      </c>
      <c r="E36" s="0" t="s">
        <v>3268</v>
      </c>
      <c r="F36" s="0" t="s">
        <v>3213</v>
      </c>
      <c r="G36" s="0" t="s">
        <v>1612</v>
      </c>
    </row>
    <row customHeight="1" ht="11.25">
      <c r="A37" s="600" t="s">
        <v>16</v>
      </c>
      <c r="B37" s="0" t="s">
        <v>3249</v>
      </c>
      <c r="C37" s="0" t="s">
        <v>3250</v>
      </c>
      <c r="D37" s="0" t="s">
        <v>3269</v>
      </c>
      <c r="E37" s="0" t="s">
        <v>3270</v>
      </c>
      <c r="F37" s="0" t="s">
        <v>3213</v>
      </c>
      <c r="G37" s="0" t="s">
        <v>1616</v>
      </c>
    </row>
    <row customHeight="1" ht="11.25">
      <c r="A38" s="600" t="s">
        <v>16</v>
      </c>
      <c r="B38" s="0" t="s">
        <v>3271</v>
      </c>
      <c r="C38" s="0" t="s">
        <v>3272</v>
      </c>
      <c r="D38" s="0" t="s">
        <v>3271</v>
      </c>
      <c r="E38" s="0" t="s">
        <v>3272</v>
      </c>
      <c r="F38" s="0" t="s">
        <v>3195</v>
      </c>
      <c r="G38" s="0" t="s">
        <v>1624</v>
      </c>
    </row>
    <row customHeight="1" ht="11.25">
      <c r="A39" s="600" t="s">
        <v>16</v>
      </c>
      <c r="B39" s="0" t="s">
        <v>3273</v>
      </c>
      <c r="C39" s="0" t="s">
        <v>3274</v>
      </c>
      <c r="D39" s="0" t="s">
        <v>3273</v>
      </c>
      <c r="E39" s="0" t="s">
        <v>3274</v>
      </c>
      <c r="F39" s="0" t="s">
        <v>3198</v>
      </c>
      <c r="G39" s="0" t="s">
        <v>1630</v>
      </c>
    </row>
    <row customHeight="1" ht="11.25">
      <c r="A40" s="600" t="s">
        <v>16</v>
      </c>
      <c r="B40" s="0" t="s">
        <v>3275</v>
      </c>
      <c r="C40" s="0" t="s">
        <v>3276</v>
      </c>
      <c r="D40" s="0" t="s">
        <v>3277</v>
      </c>
      <c r="E40" s="0" t="s">
        <v>3278</v>
      </c>
      <c r="F40" s="0" t="s">
        <v>3213</v>
      </c>
      <c r="G40" s="0" t="s">
        <v>1635</v>
      </c>
    </row>
    <row customHeight="1" ht="11.25">
      <c r="A41" s="600" t="s">
        <v>16</v>
      </c>
      <c r="B41" s="0" t="s">
        <v>3275</v>
      </c>
      <c r="C41" s="0" t="s">
        <v>3276</v>
      </c>
      <c r="D41" s="0" t="s">
        <v>3279</v>
      </c>
      <c r="E41" s="0" t="s">
        <v>3280</v>
      </c>
      <c r="F41" s="0" t="s">
        <v>3213</v>
      </c>
      <c r="G41" s="0" t="s">
        <v>1639</v>
      </c>
    </row>
    <row customHeight="1" ht="11.25">
      <c r="A42" s="600" t="s">
        <v>16</v>
      </c>
      <c r="B42" s="0" t="s">
        <v>3275</v>
      </c>
      <c r="C42" s="0" t="s">
        <v>3276</v>
      </c>
      <c r="D42" s="0" t="s">
        <v>3281</v>
      </c>
      <c r="E42" s="0" t="s">
        <v>3282</v>
      </c>
      <c r="F42" s="0" t="s">
        <v>3213</v>
      </c>
      <c r="G42" s="0" t="s">
        <v>1642</v>
      </c>
    </row>
    <row customHeight="1" ht="11.25">
      <c r="A43" s="600" t="s">
        <v>16</v>
      </c>
      <c r="B43" s="0" t="s">
        <v>3275</v>
      </c>
      <c r="C43" s="0" t="s">
        <v>3276</v>
      </c>
      <c r="D43" s="0" t="s">
        <v>3275</v>
      </c>
      <c r="E43" s="0" t="s">
        <v>3276</v>
      </c>
      <c r="F43" s="0" t="s">
        <v>3214</v>
      </c>
      <c r="G43" s="0" t="s">
        <v>1649</v>
      </c>
    </row>
    <row customHeight="1" ht="11.25">
      <c r="A44" s="600" t="s">
        <v>16</v>
      </c>
      <c r="B44" s="0" t="s">
        <v>3275</v>
      </c>
      <c r="C44" s="0" t="s">
        <v>3276</v>
      </c>
      <c r="D44" s="0" t="s">
        <v>3283</v>
      </c>
      <c r="E44" s="0" t="s">
        <v>3284</v>
      </c>
      <c r="F44" s="0" t="s">
        <v>3213</v>
      </c>
      <c r="G44" s="0" t="s">
        <v>1658</v>
      </c>
    </row>
    <row customHeight="1" ht="11.25">
      <c r="A45" s="600" t="s">
        <v>16</v>
      </c>
      <c r="B45" s="0" t="s">
        <v>3275</v>
      </c>
      <c r="C45" s="0" t="s">
        <v>3276</v>
      </c>
      <c r="D45" s="0" t="s">
        <v>3285</v>
      </c>
      <c r="E45" s="0" t="s">
        <v>3286</v>
      </c>
      <c r="F45" s="0" t="s">
        <v>3236</v>
      </c>
      <c r="G45" s="0" t="s">
        <v>1663</v>
      </c>
    </row>
    <row customHeight="1" ht="11.25">
      <c r="A46" s="600" t="s">
        <v>16</v>
      </c>
      <c r="B46" s="0" t="s">
        <v>3275</v>
      </c>
      <c r="C46" s="0" t="s">
        <v>3276</v>
      </c>
      <c r="D46" s="0" t="s">
        <v>3287</v>
      </c>
      <c r="E46" s="0" t="s">
        <v>3288</v>
      </c>
      <c r="F46" s="0" t="s">
        <v>3213</v>
      </c>
      <c r="G46" s="0" t="s">
        <v>1667</v>
      </c>
    </row>
    <row customHeight="1" ht="11.25">
      <c r="A47" s="600" t="s">
        <v>16</v>
      </c>
      <c r="B47" s="0" t="s">
        <v>3275</v>
      </c>
      <c r="C47" s="0" t="s">
        <v>3276</v>
      </c>
      <c r="D47" s="0" t="s">
        <v>3289</v>
      </c>
      <c r="E47" s="0" t="s">
        <v>3290</v>
      </c>
      <c r="F47" s="0" t="s">
        <v>3213</v>
      </c>
      <c r="G47" s="0" t="s">
        <v>1673</v>
      </c>
    </row>
    <row customHeight="1" ht="11.25">
      <c r="A48" s="600" t="s">
        <v>16</v>
      </c>
      <c r="B48" s="0" t="s">
        <v>3291</v>
      </c>
      <c r="C48" s="0" t="s">
        <v>3292</v>
      </c>
      <c r="D48" s="0" t="s">
        <v>3291</v>
      </c>
      <c r="E48" s="0" t="s">
        <v>3292</v>
      </c>
      <c r="F48" s="0" t="s">
        <v>3214</v>
      </c>
      <c r="G48" s="0" t="s">
        <v>1677</v>
      </c>
    </row>
    <row customHeight="1" ht="11.25">
      <c r="A49" s="600" t="s">
        <v>16</v>
      </c>
      <c r="B49" s="0" t="s">
        <v>3291</v>
      </c>
      <c r="C49" s="0" t="s">
        <v>3292</v>
      </c>
      <c r="D49" s="0" t="s">
        <v>3293</v>
      </c>
      <c r="E49" s="0" t="s">
        <v>3294</v>
      </c>
      <c r="F49" s="0" t="s">
        <v>3213</v>
      </c>
      <c r="G49" s="0" t="s">
        <v>1680</v>
      </c>
    </row>
    <row customHeight="1" ht="11.25">
      <c r="A50" s="600" t="s">
        <v>16</v>
      </c>
      <c r="B50" s="0" t="s">
        <v>3291</v>
      </c>
      <c r="C50" s="0" t="s">
        <v>3292</v>
      </c>
      <c r="D50" s="0" t="s">
        <v>3295</v>
      </c>
      <c r="E50" s="0" t="s">
        <v>3296</v>
      </c>
      <c r="F50" s="0" t="s">
        <v>3213</v>
      </c>
      <c r="G50" s="0" t="s">
        <v>1683</v>
      </c>
    </row>
    <row customHeight="1" ht="11.25">
      <c r="A51" s="600" t="s">
        <v>16</v>
      </c>
      <c r="B51" s="0" t="s">
        <v>3291</v>
      </c>
      <c r="C51" s="0" t="s">
        <v>3292</v>
      </c>
      <c r="D51" s="0" t="s">
        <v>3297</v>
      </c>
      <c r="E51" s="0" t="s">
        <v>3298</v>
      </c>
      <c r="F51" s="0" t="s">
        <v>3213</v>
      </c>
      <c r="G51" s="0" t="s">
        <v>1688</v>
      </c>
    </row>
    <row customHeight="1" ht="11.25">
      <c r="A52" s="600" t="s">
        <v>16</v>
      </c>
      <c r="B52" s="0" t="s">
        <v>3299</v>
      </c>
      <c r="C52" s="0" t="s">
        <v>3300</v>
      </c>
      <c r="D52" s="0" t="s">
        <v>3299</v>
      </c>
      <c r="E52" s="0" t="s">
        <v>3300</v>
      </c>
      <c r="F52" s="0" t="s">
        <v>3198</v>
      </c>
      <c r="G52" s="0" t="s">
        <v>1692</v>
      </c>
    </row>
    <row customHeight="1" ht="11.25">
      <c r="A53" s="600" t="s">
        <v>16</v>
      </c>
      <c r="B53" s="0" t="s">
        <v>3301</v>
      </c>
      <c r="C53" s="0" t="s">
        <v>3302</v>
      </c>
      <c r="D53" s="0" t="s">
        <v>3301</v>
      </c>
      <c r="E53" s="0" t="s">
        <v>3302</v>
      </c>
      <c r="F53" s="0" t="s">
        <v>3195</v>
      </c>
      <c r="G53" s="0" t="s">
        <v>1694</v>
      </c>
    </row>
    <row customHeight="1" ht="11.25">
      <c r="A54" s="600" t="s">
        <v>16</v>
      </c>
      <c r="B54" s="0" t="s">
        <v>3303</v>
      </c>
      <c r="C54" s="0" t="s">
        <v>3304</v>
      </c>
      <c r="D54" s="0" t="s">
        <v>3303</v>
      </c>
      <c r="E54" s="0" t="s">
        <v>3304</v>
      </c>
      <c r="F54" s="0" t="s">
        <v>3195</v>
      </c>
      <c r="G54" s="0" t="s">
        <v>1697</v>
      </c>
    </row>
    <row customHeight="1" ht="11.25">
      <c r="A55" s="600" t="s">
        <v>16</v>
      </c>
      <c r="B55" s="0" t="s">
        <v>3305</v>
      </c>
      <c r="C55" s="0" t="s">
        <v>3306</v>
      </c>
      <c r="D55" s="0" t="s">
        <v>3305</v>
      </c>
      <c r="E55" s="0" t="s">
        <v>3306</v>
      </c>
      <c r="F55" s="0" t="s">
        <v>3198</v>
      </c>
      <c r="G55" s="0" t="s">
        <v>1701</v>
      </c>
    </row>
    <row customHeight="1" ht="11.25">
      <c r="A56" s="600" t="s">
        <v>16</v>
      </c>
      <c r="B56" s="0" t="s">
        <v>3307</v>
      </c>
      <c r="C56" s="0" t="s">
        <v>3308</v>
      </c>
      <c r="D56" s="0" t="s">
        <v>3307</v>
      </c>
      <c r="E56" s="0" t="s">
        <v>3308</v>
      </c>
      <c r="F56" s="0" t="s">
        <v>3195</v>
      </c>
      <c r="G56" s="0" t="s">
        <v>1704</v>
      </c>
    </row>
    <row customHeight="1" ht="11.25">
      <c r="A57" s="600" t="s">
        <v>16</v>
      </c>
      <c r="B57" s="0" t="s">
        <v>3309</v>
      </c>
      <c r="C57" s="0" t="s">
        <v>3310</v>
      </c>
      <c r="D57" s="0" t="s">
        <v>3311</v>
      </c>
      <c r="E57" s="0" t="s">
        <v>3312</v>
      </c>
      <c r="F57" s="0" t="s">
        <v>3213</v>
      </c>
      <c r="G57" s="0" t="s">
        <v>1707</v>
      </c>
    </row>
    <row customHeight="1" ht="11.25">
      <c r="A58" s="600" t="s">
        <v>16</v>
      </c>
      <c r="B58" s="0" t="s">
        <v>3309</v>
      </c>
      <c r="C58" s="0" t="s">
        <v>3310</v>
      </c>
      <c r="D58" s="0" t="s">
        <v>3313</v>
      </c>
      <c r="E58" s="0" t="s">
        <v>3314</v>
      </c>
      <c r="F58" s="0" t="s">
        <v>3213</v>
      </c>
      <c r="G58" s="0" t="s">
        <v>1710</v>
      </c>
    </row>
    <row customHeight="1" ht="11.25">
      <c r="A59" s="600" t="s">
        <v>16</v>
      </c>
      <c r="B59" s="0" t="s">
        <v>3309</v>
      </c>
      <c r="C59" s="0" t="s">
        <v>3310</v>
      </c>
      <c r="D59" s="0" t="s">
        <v>3315</v>
      </c>
      <c r="E59" s="0" t="s">
        <v>3316</v>
      </c>
      <c r="F59" s="0" t="s">
        <v>3213</v>
      </c>
      <c r="G59" s="0" t="s">
        <v>1714</v>
      </c>
    </row>
    <row customHeight="1" ht="11.25">
      <c r="A60" s="600" t="s">
        <v>16</v>
      </c>
      <c r="B60" s="0" t="s">
        <v>3309</v>
      </c>
      <c r="C60" s="0" t="s">
        <v>3310</v>
      </c>
      <c r="D60" s="0" t="s">
        <v>3317</v>
      </c>
      <c r="E60" s="0" t="s">
        <v>3318</v>
      </c>
      <c r="F60" s="0" t="s">
        <v>3219</v>
      </c>
      <c r="G60" s="0" t="s">
        <v>1717</v>
      </c>
    </row>
    <row customHeight="1" ht="11.25">
      <c r="A61" s="600" t="s">
        <v>16</v>
      </c>
      <c r="B61" s="0" t="s">
        <v>3309</v>
      </c>
      <c r="C61" s="0" t="s">
        <v>3310</v>
      </c>
      <c r="D61" s="0" t="s">
        <v>3319</v>
      </c>
      <c r="E61" s="0" t="s">
        <v>3320</v>
      </c>
      <c r="F61" s="0" t="s">
        <v>3213</v>
      </c>
      <c r="G61" s="0" t="s">
        <v>3321</v>
      </c>
    </row>
    <row customHeight="1" ht="11.25">
      <c r="A62" s="600" t="s">
        <v>16</v>
      </c>
      <c r="B62" s="0" t="s">
        <v>3309</v>
      </c>
      <c r="C62" s="0" t="s">
        <v>3310</v>
      </c>
      <c r="D62" s="0" t="s">
        <v>3322</v>
      </c>
      <c r="E62" s="0" t="s">
        <v>3323</v>
      </c>
      <c r="F62" s="0" t="s">
        <v>3213</v>
      </c>
      <c r="G62" s="0" t="s">
        <v>3324</v>
      </c>
    </row>
    <row customHeight="1" ht="11.25">
      <c r="A63" s="600" t="s">
        <v>16</v>
      </c>
      <c r="B63" s="0" t="s">
        <v>3309</v>
      </c>
      <c r="C63" s="0" t="s">
        <v>3310</v>
      </c>
      <c r="D63" s="0" t="s">
        <v>3309</v>
      </c>
      <c r="E63" s="0" t="s">
        <v>3310</v>
      </c>
      <c r="F63" s="0" t="s">
        <v>3214</v>
      </c>
      <c r="G63" s="0" t="s">
        <v>3325</v>
      </c>
    </row>
    <row customHeight="1" ht="11.25">
      <c r="A64" s="600" t="s">
        <v>16</v>
      </c>
      <c r="B64" s="0" t="s">
        <v>3309</v>
      </c>
      <c r="C64" s="0" t="s">
        <v>3310</v>
      </c>
      <c r="D64" s="0" t="s">
        <v>3326</v>
      </c>
      <c r="E64" s="0" t="s">
        <v>3327</v>
      </c>
      <c r="F64" s="0" t="s">
        <v>3213</v>
      </c>
      <c r="G64" s="0" t="s">
        <v>3328</v>
      </c>
    </row>
    <row customHeight="1" ht="11.25">
      <c r="A65" s="600" t="s">
        <v>16</v>
      </c>
      <c r="B65" s="0" t="s">
        <v>3329</v>
      </c>
      <c r="C65" s="0" t="s">
        <v>3330</v>
      </c>
      <c r="D65" s="0" t="s">
        <v>3329</v>
      </c>
      <c r="E65" s="0" t="s">
        <v>3330</v>
      </c>
      <c r="F65" s="0" t="s">
        <v>3195</v>
      </c>
      <c r="G65" s="0" t="s">
        <v>3331</v>
      </c>
    </row>
    <row customHeight="1" ht="11.25">
      <c r="A66" s="600" t="s">
        <v>16</v>
      </c>
      <c r="B66" s="0" t="s">
        <v>3332</v>
      </c>
      <c r="C66" s="0" t="s">
        <v>3333</v>
      </c>
      <c r="D66" s="0" t="s">
        <v>3332</v>
      </c>
      <c r="E66" s="0" t="s">
        <v>3333</v>
      </c>
      <c r="F66" s="0" t="s">
        <v>3195</v>
      </c>
      <c r="G66" s="0" t="s">
        <v>3334</v>
      </c>
    </row>
    <row customHeight="1" ht="11.25">
      <c r="A67" s="600" t="s">
        <v>16</v>
      </c>
      <c r="B67" s="0" t="s">
        <v>3335</v>
      </c>
      <c r="C67" s="0" t="s">
        <v>3336</v>
      </c>
      <c r="D67" s="0" t="s">
        <v>3337</v>
      </c>
      <c r="E67" s="0" t="s">
        <v>3338</v>
      </c>
      <c r="F67" s="0" t="s">
        <v>3213</v>
      </c>
      <c r="G67" s="0" t="s">
        <v>2036</v>
      </c>
    </row>
    <row customHeight="1" ht="11.25">
      <c r="A68" s="600" t="s">
        <v>16</v>
      </c>
      <c r="B68" s="0" t="s">
        <v>3335</v>
      </c>
      <c r="C68" s="0" t="s">
        <v>3336</v>
      </c>
      <c r="D68" s="0" t="s">
        <v>3339</v>
      </c>
      <c r="E68" s="0" t="s">
        <v>3340</v>
      </c>
      <c r="F68" s="0" t="s">
        <v>3213</v>
      </c>
      <c r="G68" s="0" t="s">
        <v>3341</v>
      </c>
    </row>
    <row customHeight="1" ht="11.25">
      <c r="A69" s="600" t="s">
        <v>16</v>
      </c>
      <c r="B69" s="0" t="s">
        <v>3335</v>
      </c>
      <c r="C69" s="0" t="s">
        <v>3336</v>
      </c>
      <c r="D69" s="0" t="s">
        <v>3342</v>
      </c>
      <c r="E69" s="0" t="s">
        <v>3343</v>
      </c>
      <c r="F69" s="0" t="s">
        <v>3213</v>
      </c>
      <c r="G69" s="0" t="s">
        <v>2239</v>
      </c>
    </row>
    <row customHeight="1" ht="11.25">
      <c r="A70" s="600" t="s">
        <v>16</v>
      </c>
      <c r="B70" s="0" t="s">
        <v>3335</v>
      </c>
      <c r="C70" s="0" t="s">
        <v>3336</v>
      </c>
      <c r="D70" s="0" t="s">
        <v>3344</v>
      </c>
      <c r="E70" s="0" t="s">
        <v>3345</v>
      </c>
      <c r="F70" s="0" t="s">
        <v>3213</v>
      </c>
      <c r="G70" s="0" t="s">
        <v>3346</v>
      </c>
    </row>
    <row customHeight="1" ht="11.25">
      <c r="A71" s="600" t="s">
        <v>16</v>
      </c>
      <c r="B71" s="0" t="s">
        <v>3335</v>
      </c>
      <c r="C71" s="0" t="s">
        <v>3336</v>
      </c>
      <c r="D71" s="0" t="s">
        <v>3347</v>
      </c>
      <c r="E71" s="0" t="s">
        <v>3348</v>
      </c>
      <c r="F71" s="0" t="s">
        <v>3213</v>
      </c>
      <c r="G71" s="0" t="s">
        <v>3349</v>
      </c>
    </row>
    <row customHeight="1" ht="11.25">
      <c r="A72" s="600" t="s">
        <v>16</v>
      </c>
      <c r="B72" s="0" t="s">
        <v>3335</v>
      </c>
      <c r="C72" s="0" t="s">
        <v>3336</v>
      </c>
      <c r="D72" s="0" t="s">
        <v>3335</v>
      </c>
      <c r="E72" s="0" t="s">
        <v>3336</v>
      </c>
      <c r="F72" s="0" t="s">
        <v>3214</v>
      </c>
      <c r="G72" s="0" t="s">
        <v>3350</v>
      </c>
    </row>
    <row customHeight="1" ht="11.25">
      <c r="A73" s="600" t="s">
        <v>16</v>
      </c>
      <c r="B73" s="0" t="s">
        <v>3335</v>
      </c>
      <c r="C73" s="0" t="s">
        <v>3336</v>
      </c>
      <c r="D73" s="0" t="s">
        <v>3351</v>
      </c>
      <c r="E73" s="0" t="s">
        <v>3352</v>
      </c>
      <c r="F73" s="0" t="s">
        <v>3213</v>
      </c>
      <c r="G73" s="0" t="s">
        <v>3353</v>
      </c>
    </row>
    <row customHeight="1" ht="11.25">
      <c r="A74" s="600" t="s">
        <v>16</v>
      </c>
      <c r="B74" s="0" t="s">
        <v>3335</v>
      </c>
      <c r="C74" s="0" t="s">
        <v>3336</v>
      </c>
      <c r="D74" s="0" t="s">
        <v>3354</v>
      </c>
      <c r="E74" s="0" t="s">
        <v>3355</v>
      </c>
      <c r="F74" s="0" t="s">
        <v>3213</v>
      </c>
      <c r="G74" s="0" t="s">
        <v>3356</v>
      </c>
    </row>
    <row customHeight="1" ht="11.25">
      <c r="A75" s="600" t="s">
        <v>16</v>
      </c>
      <c r="B75" s="0" t="s">
        <v>3335</v>
      </c>
      <c r="C75" s="0" t="s">
        <v>3336</v>
      </c>
      <c r="D75" s="0" t="s">
        <v>3357</v>
      </c>
      <c r="E75" s="0" t="s">
        <v>3358</v>
      </c>
      <c r="F75" s="0" t="s">
        <v>3213</v>
      </c>
      <c r="G75" s="0" t="s">
        <v>3359</v>
      </c>
    </row>
    <row customHeight="1" ht="11.25">
      <c r="A76" s="600" t="s">
        <v>16</v>
      </c>
      <c r="B76" s="0" t="s">
        <v>3360</v>
      </c>
      <c r="C76" s="0" t="s">
        <v>3361</v>
      </c>
      <c r="D76" s="0" t="s">
        <v>3360</v>
      </c>
      <c r="E76" s="0" t="s">
        <v>3361</v>
      </c>
      <c r="F76" s="0" t="s">
        <v>3195</v>
      </c>
      <c r="G76" s="0" t="s">
        <v>3362</v>
      </c>
    </row>
    <row customHeight="1" ht="11.25">
      <c r="A77" s="600" t="s">
        <v>16</v>
      </c>
      <c r="B77" s="0" t="s">
        <v>100</v>
      </c>
      <c r="C77" s="0" t="s">
        <v>101</v>
      </c>
      <c r="D77" s="0" t="s">
        <v>100</v>
      </c>
      <c r="E77" s="0" t="s">
        <v>101</v>
      </c>
      <c r="F77" s="0" t="s">
        <v>3198</v>
      </c>
      <c r="G77" s="0" t="s">
        <v>99</v>
      </c>
    </row>
    <row customHeight="1" ht="11.25">
      <c r="A78" s="600" t="s">
        <v>16</v>
      </c>
      <c r="B78" s="0" t="s">
        <v>3363</v>
      </c>
      <c r="C78" s="0" t="s">
        <v>3364</v>
      </c>
      <c r="D78" s="0" t="s">
        <v>3363</v>
      </c>
      <c r="E78" s="0" t="s">
        <v>3364</v>
      </c>
      <c r="F78" s="0" t="s">
        <v>3195</v>
      </c>
      <c r="G78" s="0" t="s">
        <v>3365</v>
      </c>
    </row>
    <row customHeight="1" ht="11.25">
      <c r="A79" s="600" t="s">
        <v>16</v>
      </c>
      <c r="B79" s="0" t="s">
        <v>3366</v>
      </c>
      <c r="C79" s="0" t="s">
        <v>3367</v>
      </c>
      <c r="D79" s="0" t="s">
        <v>3366</v>
      </c>
      <c r="E79" s="0" t="s">
        <v>3367</v>
      </c>
      <c r="F79" s="0" t="s">
        <v>3195</v>
      </c>
      <c r="G79" s="0" t="s">
        <v>3368</v>
      </c>
    </row>
    <row customHeight="1" ht="11.25">
      <c r="A80" s="600" t="s">
        <v>16</v>
      </c>
      <c r="B80" s="0" t="s">
        <v>3369</v>
      </c>
      <c r="C80" s="0" t="s">
        <v>3370</v>
      </c>
      <c r="D80" s="0" t="s">
        <v>3369</v>
      </c>
      <c r="E80" s="0" t="s">
        <v>3370</v>
      </c>
      <c r="F80" s="0" t="s">
        <v>3195</v>
      </c>
      <c r="G80" s="0" t="s">
        <v>3371</v>
      </c>
    </row>
    <row customHeight="1" ht="11.25">
      <c r="A81" s="600" t="s">
        <v>16</v>
      </c>
      <c r="B81" s="0" t="s">
        <v>3372</v>
      </c>
      <c r="C81" s="0" t="s">
        <v>3373</v>
      </c>
      <c r="D81" s="0" t="s">
        <v>3372</v>
      </c>
      <c r="E81" s="0" t="s">
        <v>3373</v>
      </c>
      <c r="F81" s="0" t="s">
        <v>3195</v>
      </c>
      <c r="G81" s="0" t="s">
        <v>3374</v>
      </c>
    </row>
    <row customHeight="1" ht="11.25">
      <c r="A82" s="600" t="s">
        <v>16</v>
      </c>
      <c r="B82" s="0" t="s">
        <v>3375</v>
      </c>
      <c r="C82" s="0" t="s">
        <v>3376</v>
      </c>
      <c r="D82" s="0" t="s">
        <v>3377</v>
      </c>
      <c r="E82" s="0" t="s">
        <v>3378</v>
      </c>
      <c r="F82" s="0" t="s">
        <v>3213</v>
      </c>
      <c r="G82" s="0" t="s">
        <v>3379</v>
      </c>
    </row>
    <row customHeight="1" ht="11.25">
      <c r="A83" s="600" t="s">
        <v>16</v>
      </c>
      <c r="B83" s="0" t="s">
        <v>3375</v>
      </c>
      <c r="C83" s="0" t="s">
        <v>3376</v>
      </c>
      <c r="D83" s="0" t="s">
        <v>3380</v>
      </c>
      <c r="E83" s="0" t="s">
        <v>3381</v>
      </c>
      <c r="F83" s="0" t="s">
        <v>3219</v>
      </c>
      <c r="G83" s="0" t="s">
        <v>3382</v>
      </c>
    </row>
    <row customHeight="1" ht="11.25">
      <c r="A84" s="600" t="s">
        <v>16</v>
      </c>
      <c r="B84" s="0" t="s">
        <v>3375</v>
      </c>
      <c r="C84" s="0" t="s">
        <v>3376</v>
      </c>
      <c r="D84" s="0" t="s">
        <v>3383</v>
      </c>
      <c r="E84" s="0" t="s">
        <v>3384</v>
      </c>
      <c r="F84" s="0" t="s">
        <v>3213</v>
      </c>
      <c r="G84" s="0" t="s">
        <v>3385</v>
      </c>
    </row>
    <row customHeight="1" ht="11.25">
      <c r="A85" s="600" t="s">
        <v>16</v>
      </c>
      <c r="B85" s="0" t="s">
        <v>3375</v>
      </c>
      <c r="C85" s="0" t="s">
        <v>3376</v>
      </c>
      <c r="D85" s="0" t="s">
        <v>3386</v>
      </c>
      <c r="E85" s="0" t="s">
        <v>3387</v>
      </c>
      <c r="F85" s="0" t="s">
        <v>3236</v>
      </c>
      <c r="G85" s="0" t="s">
        <v>3388</v>
      </c>
    </row>
    <row customHeight="1" ht="11.25">
      <c r="A86" s="600" t="s">
        <v>16</v>
      </c>
      <c r="B86" s="0" t="s">
        <v>3375</v>
      </c>
      <c r="C86" s="0" t="s">
        <v>3376</v>
      </c>
      <c r="D86" s="0" t="s">
        <v>3389</v>
      </c>
      <c r="E86" s="0" t="s">
        <v>3390</v>
      </c>
      <c r="F86" s="0" t="s">
        <v>3213</v>
      </c>
      <c r="G86" s="0" t="s">
        <v>3391</v>
      </c>
    </row>
    <row customHeight="1" ht="11.25">
      <c r="A87" s="600" t="s">
        <v>16</v>
      </c>
      <c r="B87" s="0" t="s">
        <v>3375</v>
      </c>
      <c r="C87" s="0" t="s">
        <v>3376</v>
      </c>
      <c r="D87" s="0" t="s">
        <v>3375</v>
      </c>
      <c r="E87" s="0" t="s">
        <v>3376</v>
      </c>
      <c r="F87" s="0" t="s">
        <v>3214</v>
      </c>
      <c r="G87" s="0" t="s">
        <v>3392</v>
      </c>
    </row>
    <row customHeight="1" ht="11.25">
      <c r="A88" s="600" t="s">
        <v>16</v>
      </c>
      <c r="B88" s="0" t="s">
        <v>3375</v>
      </c>
      <c r="C88" s="0" t="s">
        <v>3376</v>
      </c>
      <c r="D88" s="0" t="s">
        <v>3393</v>
      </c>
      <c r="E88" s="0" t="s">
        <v>3394</v>
      </c>
      <c r="F88" s="0" t="s">
        <v>3213</v>
      </c>
      <c r="G88" s="0" t="s">
        <v>3395</v>
      </c>
    </row>
    <row customHeight="1" ht="11.25">
      <c r="A89" s="600" t="s">
        <v>16</v>
      </c>
      <c r="B89" s="0" t="s">
        <v>3396</v>
      </c>
      <c r="C89" s="0" t="s">
        <v>3397</v>
      </c>
      <c r="D89" s="0" t="s">
        <v>3396</v>
      </c>
      <c r="E89" s="0" t="s">
        <v>3397</v>
      </c>
      <c r="F89" s="0" t="s">
        <v>3195</v>
      </c>
      <c r="G89" s="0" t="s">
        <v>3398</v>
      </c>
    </row>
    <row customHeight="1" ht="11.25">
      <c r="A90" s="600" t="s">
        <v>16</v>
      </c>
      <c r="B90" s="0" t="s">
        <v>3399</v>
      </c>
      <c r="C90" s="0" t="s">
        <v>3400</v>
      </c>
      <c r="D90" s="0" t="s">
        <v>3399</v>
      </c>
      <c r="E90" s="0" t="s">
        <v>3400</v>
      </c>
      <c r="F90" s="0" t="s">
        <v>3195</v>
      </c>
      <c r="G90" s="0" t="s">
        <v>3401</v>
      </c>
    </row>
    <row customHeight="1" ht="11.25">
      <c r="A91" s="600" t="s">
        <v>16</v>
      </c>
      <c r="B91" s="0" t="s">
        <v>3402</v>
      </c>
      <c r="C91" s="0" t="s">
        <v>3403</v>
      </c>
      <c r="D91" s="0" t="s">
        <v>3404</v>
      </c>
      <c r="E91" s="0" t="s">
        <v>3405</v>
      </c>
      <c r="F91" s="0" t="s">
        <v>3213</v>
      </c>
      <c r="G91" s="0" t="s">
        <v>3406</v>
      </c>
    </row>
    <row customHeight="1" ht="11.25">
      <c r="A92" s="600" t="s">
        <v>16</v>
      </c>
      <c r="B92" s="0" t="s">
        <v>3402</v>
      </c>
      <c r="C92" s="0" t="s">
        <v>3403</v>
      </c>
      <c r="D92" s="0" t="s">
        <v>3407</v>
      </c>
      <c r="E92" s="0" t="s">
        <v>3408</v>
      </c>
      <c r="F92" s="0" t="s">
        <v>3213</v>
      </c>
      <c r="G92" s="0" t="s">
        <v>3409</v>
      </c>
    </row>
    <row customHeight="1" ht="11.25">
      <c r="A93" s="600" t="s">
        <v>16</v>
      </c>
      <c r="B93" s="0" t="s">
        <v>3402</v>
      </c>
      <c r="C93" s="0" t="s">
        <v>3403</v>
      </c>
      <c r="D93" s="0" t="s">
        <v>3410</v>
      </c>
      <c r="E93" s="0" t="s">
        <v>3411</v>
      </c>
      <c r="F93" s="0" t="s">
        <v>3213</v>
      </c>
      <c r="G93" s="0" t="s">
        <v>3412</v>
      </c>
    </row>
    <row customHeight="1" ht="11.25">
      <c r="A94" s="600" t="s">
        <v>16</v>
      </c>
      <c r="B94" s="0" t="s">
        <v>3402</v>
      </c>
      <c r="C94" s="0" t="s">
        <v>3403</v>
      </c>
      <c r="D94" s="0" t="s">
        <v>3413</v>
      </c>
      <c r="E94" s="0" t="s">
        <v>3414</v>
      </c>
      <c r="F94" s="0" t="s">
        <v>3236</v>
      </c>
      <c r="G94" s="0" t="s">
        <v>3415</v>
      </c>
    </row>
    <row customHeight="1" ht="11.25">
      <c r="A95" s="600" t="s">
        <v>16</v>
      </c>
      <c r="B95" s="0" t="s">
        <v>3402</v>
      </c>
      <c r="C95" s="0" t="s">
        <v>3403</v>
      </c>
      <c r="D95" s="0" t="s">
        <v>3416</v>
      </c>
      <c r="E95" s="0" t="s">
        <v>3417</v>
      </c>
      <c r="F95" s="0" t="s">
        <v>3213</v>
      </c>
      <c r="G95" s="0" t="s">
        <v>3418</v>
      </c>
    </row>
    <row customHeight="1" ht="11.25">
      <c r="A96" s="600" t="s">
        <v>16</v>
      </c>
      <c r="B96" s="0" t="s">
        <v>3402</v>
      </c>
      <c r="C96" s="0" t="s">
        <v>3403</v>
      </c>
      <c r="D96" s="0" t="s">
        <v>3402</v>
      </c>
      <c r="E96" s="0" t="s">
        <v>3403</v>
      </c>
      <c r="F96" s="0" t="s">
        <v>3214</v>
      </c>
      <c r="G96" s="0" t="s">
        <v>3419</v>
      </c>
    </row>
    <row customHeight="1" ht="11.25">
      <c r="A97" s="600" t="s">
        <v>16</v>
      </c>
      <c r="B97" s="0" t="s">
        <v>3402</v>
      </c>
      <c r="C97" s="0" t="s">
        <v>3403</v>
      </c>
      <c r="D97" s="0" t="s">
        <v>3420</v>
      </c>
      <c r="E97" s="0" t="s">
        <v>3421</v>
      </c>
      <c r="F97" s="0" t="s">
        <v>3236</v>
      </c>
      <c r="G97" s="0" t="s">
        <v>3422</v>
      </c>
    </row>
    <row customHeight="1" ht="11.25">
      <c r="A98" s="600" t="s">
        <v>16</v>
      </c>
      <c r="B98" s="0" t="s">
        <v>3402</v>
      </c>
      <c r="C98" s="0" t="s">
        <v>3403</v>
      </c>
      <c r="D98" s="0" t="s">
        <v>3423</v>
      </c>
      <c r="E98" s="0" t="s">
        <v>3424</v>
      </c>
      <c r="F98" s="0" t="s">
        <v>3213</v>
      </c>
      <c r="G98" s="0" t="s">
        <v>3425</v>
      </c>
    </row>
    <row customHeight="1" ht="11.25">
      <c r="A99" s="600" t="s">
        <v>16</v>
      </c>
      <c r="B99" s="0" t="s">
        <v>3426</v>
      </c>
      <c r="C99" s="0" t="s">
        <v>3427</v>
      </c>
      <c r="D99" s="0" t="s">
        <v>3426</v>
      </c>
      <c r="E99" s="0" t="s">
        <v>3427</v>
      </c>
      <c r="F99" s="0" t="s">
        <v>3195</v>
      </c>
      <c r="G99" s="0" t="s">
        <v>3428</v>
      </c>
    </row>
    <row customHeight="1" ht="11.25">
      <c r="A100" s="600" t="s">
        <v>16</v>
      </c>
      <c r="B100" s="0" t="s">
        <v>3429</v>
      </c>
      <c r="C100" s="0" t="s">
        <v>3430</v>
      </c>
      <c r="D100" s="0" t="s">
        <v>3431</v>
      </c>
      <c r="E100" s="0" t="s">
        <v>3432</v>
      </c>
      <c r="F100" s="0" t="s">
        <v>3213</v>
      </c>
      <c r="G100" s="0" t="s">
        <v>3433</v>
      </c>
    </row>
    <row customHeight="1" ht="11.25">
      <c r="A101" s="600" t="s">
        <v>16</v>
      </c>
      <c r="B101" s="0" t="s">
        <v>3429</v>
      </c>
      <c r="C101" s="0" t="s">
        <v>3430</v>
      </c>
      <c r="D101" s="0" t="s">
        <v>3434</v>
      </c>
      <c r="E101" s="0" t="s">
        <v>3435</v>
      </c>
      <c r="F101" s="0" t="s">
        <v>3213</v>
      </c>
      <c r="G101" s="0" t="s">
        <v>3436</v>
      </c>
    </row>
    <row customHeight="1" ht="11.25">
      <c r="A102" s="600" t="s">
        <v>16</v>
      </c>
      <c r="B102" s="0" t="s">
        <v>3429</v>
      </c>
      <c r="C102" s="0" t="s">
        <v>3430</v>
      </c>
      <c r="D102" s="0" t="s">
        <v>3437</v>
      </c>
      <c r="E102" s="0" t="s">
        <v>3438</v>
      </c>
      <c r="F102" s="0" t="s">
        <v>3213</v>
      </c>
      <c r="G102" s="0" t="s">
        <v>3439</v>
      </c>
    </row>
    <row customHeight="1" ht="11.25">
      <c r="A103" s="600" t="s">
        <v>16</v>
      </c>
      <c r="B103" s="0" t="s">
        <v>3429</v>
      </c>
      <c r="C103" s="0" t="s">
        <v>3430</v>
      </c>
      <c r="D103" s="0" t="s">
        <v>3440</v>
      </c>
      <c r="E103" s="0" t="s">
        <v>3441</v>
      </c>
      <c r="F103" s="0" t="s">
        <v>3213</v>
      </c>
      <c r="G103" s="0" t="s">
        <v>3442</v>
      </c>
    </row>
    <row customHeight="1" ht="11.25">
      <c r="A104" s="600" t="s">
        <v>16</v>
      </c>
      <c r="B104" s="0" t="s">
        <v>3429</v>
      </c>
      <c r="C104" s="0" t="s">
        <v>3430</v>
      </c>
      <c r="D104" s="0" t="s">
        <v>3429</v>
      </c>
      <c r="E104" s="0" t="s">
        <v>3430</v>
      </c>
      <c r="F104" s="0" t="s">
        <v>3214</v>
      </c>
      <c r="G104" s="0" t="s">
        <v>3443</v>
      </c>
    </row>
    <row customHeight="1" ht="11.25">
      <c r="A105" s="600" t="s">
        <v>16</v>
      </c>
      <c r="B105" s="0" t="s">
        <v>3429</v>
      </c>
      <c r="C105" s="0" t="s">
        <v>3430</v>
      </c>
      <c r="D105" s="0" t="s">
        <v>3444</v>
      </c>
      <c r="E105" s="0" t="s">
        <v>3445</v>
      </c>
      <c r="F105" s="0" t="s">
        <v>3213</v>
      </c>
      <c r="G105" s="0" t="s">
        <v>3446</v>
      </c>
    </row>
    <row customHeight="1" ht="11.25">
      <c r="A106" s="600" t="s">
        <v>16</v>
      </c>
      <c r="B106" s="0" t="s">
        <v>3447</v>
      </c>
      <c r="C106" s="0" t="s">
        <v>3448</v>
      </c>
      <c r="D106" s="0" t="s">
        <v>3447</v>
      </c>
      <c r="E106" s="0" t="s">
        <v>3448</v>
      </c>
      <c r="F106" s="0" t="s">
        <v>3198</v>
      </c>
      <c r="G106" s="0" t="s">
        <v>3449</v>
      </c>
    </row>
    <row customHeight="1" ht="11.25">
      <c r="A107" s="600" t="s">
        <v>16</v>
      </c>
      <c r="B107" s="0" t="s">
        <v>3450</v>
      </c>
      <c r="C107" s="0" t="s">
        <v>3451</v>
      </c>
      <c r="D107" s="0" t="s">
        <v>3450</v>
      </c>
      <c r="E107" s="0" t="s">
        <v>3451</v>
      </c>
      <c r="F107" s="0" t="s">
        <v>3198</v>
      </c>
      <c r="G107" s="0" t="s">
        <v>3452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CDD5F-A7FF-4F77-008E-A214216C213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559" width="13.8515625" customWidth="1"/>
    <col min="2" max="2" style="16559" width="10.421875" customWidth="1"/>
    <col min="3" max="3" style="16559" width="7.57421875" customWidth="1"/>
    <col min="4" max="4" style="16559" width="13.8515625" customWidth="1"/>
    <col min="5" max="5" style="16559" width="11.57421875" customWidth="1"/>
    <col min="6" max="6" style="16559" width="16.28125" customWidth="1"/>
    <col min="7" max="7" style="16559" width="16.00390625" customWidth="1"/>
    <col min="8" max="9" style="16559" width="16.140625" customWidth="1"/>
  </cols>
  <sheetData>
    <row customHeight="1" ht="11.25">
      <c r="A1" s="1062" t="s">
        <v>3453</v>
      </c>
      <c r="B1" s="1062" t="s">
        <v>3454</v>
      </c>
      <c r="C1" s="1386" t="s">
        <v>3455</v>
      </c>
      <c r="D1" s="1062" t="s">
        <v>3456</v>
      </c>
      <c r="E1" s="1062" t="s">
        <v>3457</v>
      </c>
      <c r="F1" s="1386" t="s">
        <v>3458</v>
      </c>
      <c r="G1" s="1386" t="s">
        <v>3459</v>
      </c>
      <c r="H1" s="1386" t="s">
        <v>3460</v>
      </c>
      <c r="I1" s="1386" t="s">
        <v>3461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42C9A-35D1-759E-D015-3F79D852E6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8D581-0C4D-1033-F03B-334A1DE2C8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561" width="9.140625"/>
  </cols>
  <sheetData>
    <row customHeight="1" ht="11.25">
      <c r="A1" s="410" t="s">
        <v>130</v>
      </c>
      <c r="B1" s="410" t="s">
        <v>3462</v>
      </c>
    </row>
    <row customHeight="1" ht="11.25">
      <c r="A2" s="289" t="s">
        <v>98</v>
      </c>
      <c r="B2" s="289"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8B47E-B306-A36F-694D-7147B52253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559" width="9.140625"/>
    <col min="2" max="2" style="16559" width="65.28125" customWidth="1"/>
  </cols>
  <sheetData>
    <row customHeight="1" ht="11.25">
      <c r="A1" s="1062" t="s">
        <v>3464</v>
      </c>
      <c r="B1" s="1062" t="s">
        <v>3465</v>
      </c>
    </row>
    <row customHeight="1" ht="11.25">
      <c r="A2" s="1062">
        <v>4213775</v>
      </c>
      <c r="B2" s="1062" t="s">
        <v>1237</v>
      </c>
    </row>
    <row customHeight="1" ht="11.25">
      <c r="A3" s="1062">
        <v>4213784</v>
      </c>
      <c r="B3" s="1062" t="s">
        <v>1270</v>
      </c>
    </row>
    <row customHeight="1" ht="11.25">
      <c r="A4" s="1062">
        <v>4213781</v>
      </c>
      <c r="B4" s="1062" t="s">
        <v>1263</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1403</v>
      </c>
    </row>
    <row customHeight="1" ht="11.25">
      <c r="A10" s="1062">
        <v>4213783</v>
      </c>
      <c r="B10" s="1062" t="s">
        <v>1418</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4F243-8FBD-A63B-37CB-C89CED362A4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559" width="9.140625"/>
    <col min="2" max="2" style="16559" width="65.28125" customWidth="1"/>
  </cols>
  <sheetData>
    <row customHeight="1" ht="11.25">
      <c r="A1" s="1062" t="s">
        <v>3464</v>
      </c>
      <c r="B1" s="1062" t="s">
        <v>3466</v>
      </c>
    </row>
    <row customHeight="1" ht="11.25">
      <c r="A2" s="1062" t="s">
        <v>3467</v>
      </c>
      <c r="B2" s="1062" t="s">
        <v>1517</v>
      </c>
    </row>
    <row customHeight="1" ht="11.25">
      <c r="A3" s="1062" t="s">
        <v>3468</v>
      </c>
      <c r="B3" s="1062" t="s">
        <v>1527</v>
      </c>
    </row>
    <row customHeight="1" ht="11.25">
      <c r="A4" s="1062" t="s">
        <v>3469</v>
      </c>
      <c r="B4" s="1062" t="s">
        <v>1536</v>
      </c>
    </row>
    <row customHeight="1" ht="11.25">
      <c r="A5" s="1062" t="s">
        <v>3470</v>
      </c>
      <c r="B5" s="1062" t="s">
        <v>1545</v>
      </c>
    </row>
    <row customHeight="1" ht="11.25">
      <c r="A6" s="1062" t="s">
        <v>3471</v>
      </c>
      <c r="B6" s="1062" t="s">
        <v>1551</v>
      </c>
    </row>
    <row customHeight="1" ht="11.25">
      <c r="A7" s="1062" t="s">
        <v>3472</v>
      </c>
      <c r="B7" s="1062" t="s">
        <v>1559</v>
      </c>
    </row>
    <row customHeight="1" ht="11.25">
      <c r="A8" s="1062" t="s">
        <v>3473</v>
      </c>
      <c r="B8" s="1062"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02A25-AF55-27F4-930B-226B31BD2F8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3186</v>
      </c>
      <c r="B1" s="600" t="s">
        <v>3187</v>
      </c>
      <c r="C1" s="600" t="s">
        <v>3188</v>
      </c>
      <c r="D1" s="600" t="s">
        <v>3189</v>
      </c>
      <c r="E1" s="0" t="s">
        <v>3190</v>
      </c>
      <c r="F1" s="0" t="s">
        <v>3191</v>
      </c>
      <c r="G1" s="0" t="s">
        <v>3192</v>
      </c>
    </row>
    <row customHeight="1" ht="11.25">
      <c r="A2" s="0" t="s">
        <v>16</v>
      </c>
      <c r="B2" s="0" t="s">
        <v>3193</v>
      </c>
      <c r="C2" s="0" t="s">
        <v>3194</v>
      </c>
      <c r="D2" s="0" t="s">
        <v>3193</v>
      </c>
      <c r="E2" s="0" t="s">
        <v>3194</v>
      </c>
      <c r="F2" s="0" t="s">
        <v>3195</v>
      </c>
      <c r="G2" s="0" t="s">
        <v>109</v>
      </c>
    </row>
    <row customHeight="1" ht="11.25">
      <c r="A3" s="0" t="s">
        <v>16</v>
      </c>
      <c r="B3" s="0" t="s">
        <v>3196</v>
      </c>
      <c r="C3" s="0" t="s">
        <v>3197</v>
      </c>
      <c r="D3" s="0" t="s">
        <v>3196</v>
      </c>
      <c r="E3" s="0" t="s">
        <v>3197</v>
      </c>
      <c r="F3" s="0" t="s">
        <v>3198</v>
      </c>
      <c r="G3" s="0" t="s">
        <v>110</v>
      </c>
    </row>
    <row customHeight="1" ht="11.25">
      <c r="A4" s="0" t="s">
        <v>16</v>
      </c>
      <c r="B4" s="0" t="s">
        <v>3199</v>
      </c>
      <c r="C4" s="0" t="s">
        <v>3200</v>
      </c>
      <c r="D4" s="0" t="s">
        <v>3199</v>
      </c>
      <c r="E4" s="0" t="s">
        <v>3200</v>
      </c>
      <c r="F4" s="0" t="s">
        <v>3198</v>
      </c>
      <c r="G4" s="0" t="s">
        <v>90</v>
      </c>
    </row>
    <row customHeight="1" ht="11.25">
      <c r="A5" s="0" t="s">
        <v>16</v>
      </c>
      <c r="B5" s="0" t="s">
        <v>3201</v>
      </c>
      <c r="C5" s="0" t="s">
        <v>3202</v>
      </c>
      <c r="D5" s="0" t="s">
        <v>3201</v>
      </c>
      <c r="E5" s="0" t="s">
        <v>3202</v>
      </c>
      <c r="F5" s="0" t="s">
        <v>3198</v>
      </c>
      <c r="G5" s="0" t="s">
        <v>91</v>
      </c>
    </row>
    <row customHeight="1" ht="11.25">
      <c r="A6" s="0" t="s">
        <v>16</v>
      </c>
      <c r="B6" s="0" t="s">
        <v>3203</v>
      </c>
      <c r="C6" s="0" t="s">
        <v>3204</v>
      </c>
      <c r="D6" s="0" t="s">
        <v>3203</v>
      </c>
      <c r="E6" s="0" t="s">
        <v>3204</v>
      </c>
      <c r="F6" s="0" t="s">
        <v>3198</v>
      </c>
      <c r="G6" s="0" t="s">
        <v>111</v>
      </c>
    </row>
    <row customHeight="1" ht="11.25">
      <c r="A7" s="0" t="s">
        <v>16</v>
      </c>
      <c r="B7" s="0" t="s">
        <v>3205</v>
      </c>
      <c r="C7" s="0" t="s">
        <v>3206</v>
      </c>
      <c r="D7" s="0" t="s">
        <v>3205</v>
      </c>
      <c r="E7" s="0" t="s">
        <v>3206</v>
      </c>
      <c r="F7" s="0" t="s">
        <v>3198</v>
      </c>
      <c r="G7" s="0" t="s">
        <v>92</v>
      </c>
    </row>
    <row customHeight="1" ht="11.25">
      <c r="A8" s="0" t="s">
        <v>16</v>
      </c>
      <c r="B8" s="0" t="s">
        <v>3207</v>
      </c>
      <c r="C8" s="0" t="s">
        <v>3208</v>
      </c>
      <c r="D8" s="0" t="s">
        <v>3207</v>
      </c>
      <c r="E8" s="0" t="s">
        <v>3208</v>
      </c>
      <c r="F8" s="0" t="s">
        <v>3198</v>
      </c>
      <c r="G8" s="0" t="s">
        <v>93</v>
      </c>
    </row>
    <row customHeight="1" ht="11.25">
      <c r="A9" s="0" t="s">
        <v>16</v>
      </c>
      <c r="B9" s="0" t="s">
        <v>3209</v>
      </c>
      <c r="C9" s="0" t="s">
        <v>3210</v>
      </c>
      <c r="D9" s="0" t="s">
        <v>3211</v>
      </c>
      <c r="E9" s="0" t="s">
        <v>3212</v>
      </c>
      <c r="F9" s="0" t="s">
        <v>3213</v>
      </c>
      <c r="G9" s="0" t="s">
        <v>112</v>
      </c>
    </row>
    <row customHeight="1" ht="11.25">
      <c r="A10" s="0" t="s">
        <v>16</v>
      </c>
      <c r="B10" s="0" t="s">
        <v>3209</v>
      </c>
      <c r="C10" s="0" t="s">
        <v>3210</v>
      </c>
      <c r="D10" s="0" t="s">
        <v>3209</v>
      </c>
      <c r="E10" s="0" t="s">
        <v>3210</v>
      </c>
      <c r="F10" s="0" t="s">
        <v>3214</v>
      </c>
      <c r="G10" s="0" t="s">
        <v>148</v>
      </c>
    </row>
    <row customHeight="1" ht="11.25">
      <c r="A11" s="0" t="s">
        <v>16</v>
      </c>
      <c r="B11" s="0" t="s">
        <v>3209</v>
      </c>
      <c r="C11" s="0" t="s">
        <v>3210</v>
      </c>
      <c r="D11" s="0" t="s">
        <v>3215</v>
      </c>
      <c r="E11" s="0" t="s">
        <v>3216</v>
      </c>
      <c r="F11" s="0" t="s">
        <v>3213</v>
      </c>
      <c r="G11" s="0" t="s">
        <v>149</v>
      </c>
    </row>
    <row customHeight="1" ht="11.25">
      <c r="A12" s="0" t="s">
        <v>16</v>
      </c>
      <c r="B12" s="0" t="s">
        <v>3209</v>
      </c>
      <c r="C12" s="0" t="s">
        <v>3210</v>
      </c>
      <c r="D12" s="0" t="s">
        <v>3217</v>
      </c>
      <c r="E12" s="0" t="s">
        <v>3218</v>
      </c>
      <c r="F12" s="0" t="s">
        <v>3219</v>
      </c>
      <c r="G12" s="0" t="s">
        <v>150</v>
      </c>
    </row>
    <row customHeight="1" ht="11.25">
      <c r="A13" s="0" t="s">
        <v>16</v>
      </c>
      <c r="B13" s="0" t="s">
        <v>3209</v>
      </c>
      <c r="C13" s="0" t="s">
        <v>3210</v>
      </c>
      <c r="D13" s="0" t="s">
        <v>3220</v>
      </c>
      <c r="E13" s="0" t="s">
        <v>3221</v>
      </c>
      <c r="F13" s="0" t="s">
        <v>3213</v>
      </c>
      <c r="G13" s="0" t="s">
        <v>151</v>
      </c>
    </row>
    <row customHeight="1" ht="11.25">
      <c r="A14" s="0" t="s">
        <v>16</v>
      </c>
      <c r="B14" s="0" t="s">
        <v>3209</v>
      </c>
      <c r="C14" s="0" t="s">
        <v>3210</v>
      </c>
      <c r="D14" s="0" t="s">
        <v>3222</v>
      </c>
      <c r="E14" s="0" t="s">
        <v>3223</v>
      </c>
      <c r="F14" s="0" t="s">
        <v>3213</v>
      </c>
      <c r="G14" s="0" t="s">
        <v>152</v>
      </c>
    </row>
    <row customHeight="1" ht="11.25">
      <c r="A15" s="0" t="s">
        <v>16</v>
      </c>
      <c r="B15" s="0" t="s">
        <v>3209</v>
      </c>
      <c r="C15" s="0" t="s">
        <v>3210</v>
      </c>
      <c r="D15" s="0" t="s">
        <v>3224</v>
      </c>
      <c r="E15" s="0" t="s">
        <v>3225</v>
      </c>
      <c r="F15" s="0" t="s">
        <v>3213</v>
      </c>
      <c r="G15" s="0" t="s">
        <v>153</v>
      </c>
    </row>
    <row customHeight="1" ht="11.25">
      <c r="A16" s="0" t="s">
        <v>16</v>
      </c>
      <c r="B16" s="0" t="s">
        <v>3209</v>
      </c>
      <c r="C16" s="0" t="s">
        <v>3210</v>
      </c>
      <c r="D16" s="0" t="s">
        <v>3226</v>
      </c>
      <c r="E16" s="0" t="s">
        <v>3227</v>
      </c>
      <c r="F16" s="0" t="s">
        <v>3213</v>
      </c>
      <c r="G16" s="0" t="s">
        <v>1478</v>
      </c>
    </row>
    <row customHeight="1" ht="11.25">
      <c r="A17" s="0" t="s">
        <v>16</v>
      </c>
      <c r="B17" s="0" t="s">
        <v>3228</v>
      </c>
      <c r="C17" s="0" t="s">
        <v>3229</v>
      </c>
      <c r="D17" s="0" t="s">
        <v>3228</v>
      </c>
      <c r="E17" s="0" t="s">
        <v>3229</v>
      </c>
      <c r="F17" s="0" t="s">
        <v>3195</v>
      </c>
      <c r="G17" s="0" t="s">
        <v>1484</v>
      </c>
    </row>
    <row customHeight="1" ht="11.25">
      <c r="A18" s="0" t="s">
        <v>16</v>
      </c>
      <c r="B18" s="0" t="s">
        <v>3230</v>
      </c>
      <c r="C18" s="0" t="s">
        <v>3231</v>
      </c>
      <c r="D18" s="0" t="s">
        <v>3232</v>
      </c>
      <c r="E18" s="0" t="s">
        <v>3233</v>
      </c>
      <c r="F18" s="0" t="s">
        <v>3213</v>
      </c>
      <c r="G18" s="0" t="s">
        <v>1496</v>
      </c>
    </row>
    <row customHeight="1" ht="11.25">
      <c r="A19" s="0" t="s">
        <v>16</v>
      </c>
      <c r="B19" s="0" t="s">
        <v>3230</v>
      </c>
      <c r="C19" s="0" t="s">
        <v>3231</v>
      </c>
      <c r="D19" s="0" t="s">
        <v>3234</v>
      </c>
      <c r="E19" s="0" t="s">
        <v>3235</v>
      </c>
      <c r="F19" s="0" t="s">
        <v>3236</v>
      </c>
      <c r="G19" s="0" t="s">
        <v>1510</v>
      </c>
    </row>
    <row customHeight="1" ht="11.25">
      <c r="A20" s="0" t="s">
        <v>16</v>
      </c>
      <c r="B20" s="0" t="s">
        <v>3230</v>
      </c>
      <c r="C20" s="0" t="s">
        <v>3231</v>
      </c>
      <c r="D20" s="0" t="s">
        <v>3230</v>
      </c>
      <c r="E20" s="0" t="s">
        <v>3231</v>
      </c>
      <c r="F20" s="0" t="s">
        <v>3214</v>
      </c>
      <c r="G20" s="0" t="s">
        <v>1522</v>
      </c>
    </row>
    <row customHeight="1" ht="11.25">
      <c r="A21" s="0" t="s">
        <v>16</v>
      </c>
      <c r="B21" s="0" t="s">
        <v>3230</v>
      </c>
      <c r="C21" s="0" t="s">
        <v>3231</v>
      </c>
      <c r="D21" s="0" t="s">
        <v>3237</v>
      </c>
      <c r="E21" s="0" t="s">
        <v>3238</v>
      </c>
      <c r="F21" s="0" t="s">
        <v>3236</v>
      </c>
      <c r="G21" s="0" t="s">
        <v>1531</v>
      </c>
    </row>
    <row customHeight="1" ht="11.25">
      <c r="A22" s="0" t="s">
        <v>16</v>
      </c>
      <c r="B22" s="0" t="s">
        <v>3230</v>
      </c>
      <c r="C22" s="0" t="s">
        <v>3231</v>
      </c>
      <c r="D22" s="0" t="s">
        <v>3239</v>
      </c>
      <c r="E22" s="0" t="s">
        <v>3240</v>
      </c>
      <c r="F22" s="0" t="s">
        <v>3213</v>
      </c>
      <c r="G22" s="0" t="s">
        <v>1547</v>
      </c>
    </row>
    <row customHeight="1" ht="11.25">
      <c r="A23" s="0" t="s">
        <v>16</v>
      </c>
      <c r="B23" s="0" t="s">
        <v>3230</v>
      </c>
      <c r="C23" s="0" t="s">
        <v>3231</v>
      </c>
      <c r="D23" s="0" t="s">
        <v>3241</v>
      </c>
      <c r="E23" s="0" t="s">
        <v>3242</v>
      </c>
      <c r="F23" s="0" t="s">
        <v>3219</v>
      </c>
      <c r="G23" s="0" t="s">
        <v>1554</v>
      </c>
    </row>
    <row customHeight="1" ht="11.25">
      <c r="A24" s="0" t="s">
        <v>16</v>
      </c>
      <c r="B24" s="0" t="s">
        <v>3230</v>
      </c>
      <c r="C24" s="0" t="s">
        <v>3231</v>
      </c>
      <c r="D24" s="0" t="s">
        <v>3243</v>
      </c>
      <c r="E24" s="0" t="s">
        <v>3244</v>
      </c>
      <c r="F24" s="0" t="s">
        <v>3213</v>
      </c>
      <c r="G24" s="0" t="s">
        <v>1562</v>
      </c>
    </row>
    <row customHeight="1" ht="11.25">
      <c r="A25" s="0" t="s">
        <v>16</v>
      </c>
      <c r="B25" s="0" t="s">
        <v>3230</v>
      </c>
      <c r="C25" s="0" t="s">
        <v>3231</v>
      </c>
      <c r="D25" s="0" t="s">
        <v>3245</v>
      </c>
      <c r="E25" s="0" t="s">
        <v>3246</v>
      </c>
      <c r="F25" s="0" t="s">
        <v>3213</v>
      </c>
      <c r="G25" s="0" t="s">
        <v>1569</v>
      </c>
    </row>
    <row customHeight="1" ht="11.25">
      <c r="A26" s="0" t="s">
        <v>16</v>
      </c>
      <c r="B26" s="0" t="s">
        <v>3247</v>
      </c>
      <c r="C26" s="0" t="s">
        <v>3248</v>
      </c>
      <c r="D26" s="0" t="s">
        <v>3247</v>
      </c>
      <c r="E26" s="0" t="s">
        <v>3248</v>
      </c>
      <c r="F26" s="0" t="s">
        <v>3195</v>
      </c>
      <c r="G26" s="0" t="s">
        <v>1573</v>
      </c>
    </row>
    <row customHeight="1" ht="11.25">
      <c r="A27" s="0" t="s">
        <v>16</v>
      </c>
      <c r="B27" s="0" t="s">
        <v>3249</v>
      </c>
      <c r="C27" s="0" t="s">
        <v>3250</v>
      </c>
      <c r="D27" s="0" t="s">
        <v>3251</v>
      </c>
      <c r="E27" s="0" t="s">
        <v>3252</v>
      </c>
      <c r="F27" s="0" t="s">
        <v>3236</v>
      </c>
      <c r="G27" s="0" t="s">
        <v>1578</v>
      </c>
    </row>
    <row customHeight="1" ht="11.25">
      <c r="A28" s="0" t="s">
        <v>16</v>
      </c>
      <c r="B28" s="0" t="s">
        <v>3249</v>
      </c>
      <c r="C28" s="0" t="s">
        <v>3250</v>
      </c>
      <c r="D28" s="0" t="s">
        <v>3253</v>
      </c>
      <c r="E28" s="0" t="s">
        <v>3254</v>
      </c>
      <c r="F28" s="0" t="s">
        <v>3213</v>
      </c>
      <c r="G28" s="0" t="s">
        <v>1586</v>
      </c>
    </row>
    <row customHeight="1" ht="11.25">
      <c r="A29" s="0" t="s">
        <v>16</v>
      </c>
      <c r="B29" s="0" t="s">
        <v>3249</v>
      </c>
      <c r="C29" s="0" t="s">
        <v>3250</v>
      </c>
      <c r="D29" s="0" t="s">
        <v>3255</v>
      </c>
      <c r="E29" s="0" t="s">
        <v>3256</v>
      </c>
      <c r="F29" s="0" t="s">
        <v>3213</v>
      </c>
      <c r="G29" s="0" t="s">
        <v>1588</v>
      </c>
    </row>
    <row customHeight="1" ht="11.25">
      <c r="A30" s="0" t="s">
        <v>16</v>
      </c>
      <c r="B30" s="0" t="s">
        <v>3249</v>
      </c>
      <c r="C30" s="0" t="s">
        <v>3250</v>
      </c>
      <c r="D30" s="0" t="s">
        <v>3257</v>
      </c>
      <c r="E30" s="0" t="s">
        <v>3258</v>
      </c>
      <c r="F30" s="0" t="s">
        <v>3213</v>
      </c>
      <c r="G30" s="0" t="s">
        <v>1591</v>
      </c>
    </row>
    <row customHeight="1" ht="11.25">
      <c r="A31" s="0" t="s">
        <v>16</v>
      </c>
      <c r="B31" s="0" t="s">
        <v>3249</v>
      </c>
      <c r="C31" s="0" t="s">
        <v>3250</v>
      </c>
      <c r="D31" s="0" t="s">
        <v>3259</v>
      </c>
      <c r="E31" s="0" t="s">
        <v>3260</v>
      </c>
      <c r="F31" s="0" t="s">
        <v>3213</v>
      </c>
      <c r="G31" s="0" t="s">
        <v>1596</v>
      </c>
    </row>
    <row customHeight="1" ht="11.25">
      <c r="A32" s="0" t="s">
        <v>16</v>
      </c>
      <c r="B32" s="0" t="s">
        <v>3249</v>
      </c>
      <c r="C32" s="0" t="s">
        <v>3250</v>
      </c>
      <c r="D32" s="0" t="s">
        <v>3249</v>
      </c>
      <c r="E32" s="0" t="s">
        <v>3250</v>
      </c>
      <c r="F32" s="0" t="s">
        <v>3214</v>
      </c>
      <c r="G32" s="0" t="s">
        <v>1598</v>
      </c>
    </row>
    <row customHeight="1" ht="11.25">
      <c r="A33" s="0" t="s">
        <v>16</v>
      </c>
      <c r="B33" s="0" t="s">
        <v>3249</v>
      </c>
      <c r="C33" s="0" t="s">
        <v>3250</v>
      </c>
      <c r="D33" s="0" t="s">
        <v>3261</v>
      </c>
      <c r="E33" s="0" t="s">
        <v>3262</v>
      </c>
      <c r="F33" s="0" t="s">
        <v>3213</v>
      </c>
      <c r="G33" s="0" t="s">
        <v>1600</v>
      </c>
    </row>
    <row customHeight="1" ht="11.25">
      <c r="A34" s="0" t="s">
        <v>16</v>
      </c>
      <c r="B34" s="0" t="s">
        <v>3249</v>
      </c>
      <c r="C34" s="0" t="s">
        <v>3250</v>
      </c>
      <c r="D34" s="0" t="s">
        <v>3263</v>
      </c>
      <c r="E34" s="0" t="s">
        <v>3264</v>
      </c>
      <c r="F34" s="0" t="s">
        <v>3213</v>
      </c>
      <c r="G34" s="0" t="s">
        <v>1602</v>
      </c>
    </row>
    <row customHeight="1" ht="11.25">
      <c r="A35" s="0" t="s">
        <v>16</v>
      </c>
      <c r="B35" s="0" t="s">
        <v>3249</v>
      </c>
      <c r="C35" s="0" t="s">
        <v>3250</v>
      </c>
      <c r="D35" s="0" t="s">
        <v>3265</v>
      </c>
      <c r="E35" s="0" t="s">
        <v>3266</v>
      </c>
      <c r="F35" s="0" t="s">
        <v>3213</v>
      </c>
      <c r="G35" s="0" t="s">
        <v>1607</v>
      </c>
    </row>
    <row customHeight="1" ht="11.25">
      <c r="A36" s="0" t="s">
        <v>16</v>
      </c>
      <c r="B36" s="0" t="s">
        <v>3249</v>
      </c>
      <c r="C36" s="0" t="s">
        <v>3250</v>
      </c>
      <c r="D36" s="0" t="s">
        <v>3267</v>
      </c>
      <c r="E36" s="0" t="s">
        <v>3268</v>
      </c>
      <c r="F36" s="0" t="s">
        <v>3213</v>
      </c>
      <c r="G36" s="0" t="s">
        <v>1612</v>
      </c>
    </row>
    <row customHeight="1" ht="11.25">
      <c r="A37" s="0" t="s">
        <v>16</v>
      </c>
      <c r="B37" s="0" t="s">
        <v>3249</v>
      </c>
      <c r="C37" s="0" t="s">
        <v>3250</v>
      </c>
      <c r="D37" s="0" t="s">
        <v>3269</v>
      </c>
      <c r="E37" s="0" t="s">
        <v>3270</v>
      </c>
      <c r="F37" s="0" t="s">
        <v>3213</v>
      </c>
      <c r="G37" s="0" t="s">
        <v>1616</v>
      </c>
    </row>
    <row customHeight="1" ht="11.25">
      <c r="A38" s="0" t="s">
        <v>16</v>
      </c>
      <c r="B38" s="0" t="s">
        <v>3271</v>
      </c>
      <c r="C38" s="0" t="s">
        <v>3272</v>
      </c>
      <c r="D38" s="0" t="s">
        <v>3271</v>
      </c>
      <c r="E38" s="0" t="s">
        <v>3272</v>
      </c>
      <c r="F38" s="0" t="s">
        <v>3195</v>
      </c>
      <c r="G38" s="0" t="s">
        <v>1624</v>
      </c>
    </row>
    <row customHeight="1" ht="11.25">
      <c r="A39" s="0" t="s">
        <v>16</v>
      </c>
      <c r="B39" s="0" t="s">
        <v>3273</v>
      </c>
      <c r="C39" s="0" t="s">
        <v>3274</v>
      </c>
      <c r="D39" s="0" t="s">
        <v>3273</v>
      </c>
      <c r="E39" s="0" t="s">
        <v>3274</v>
      </c>
      <c r="F39" s="0" t="s">
        <v>3198</v>
      </c>
      <c r="G39" s="0" t="s">
        <v>1630</v>
      </c>
    </row>
    <row customHeight="1" ht="11.25">
      <c r="A40" s="0" t="s">
        <v>16</v>
      </c>
      <c r="B40" s="0" t="s">
        <v>3275</v>
      </c>
      <c r="C40" s="0" t="s">
        <v>3276</v>
      </c>
      <c r="D40" s="0" t="s">
        <v>3277</v>
      </c>
      <c r="E40" s="0" t="s">
        <v>3278</v>
      </c>
      <c r="F40" s="0" t="s">
        <v>3213</v>
      </c>
      <c r="G40" s="0" t="s">
        <v>1635</v>
      </c>
    </row>
    <row customHeight="1" ht="11.25">
      <c r="A41" s="0" t="s">
        <v>16</v>
      </c>
      <c r="B41" s="0" t="s">
        <v>3275</v>
      </c>
      <c r="C41" s="0" t="s">
        <v>3276</v>
      </c>
      <c r="D41" s="0" t="s">
        <v>3279</v>
      </c>
      <c r="E41" s="0" t="s">
        <v>3280</v>
      </c>
      <c r="F41" s="0" t="s">
        <v>3213</v>
      </c>
      <c r="G41" s="0" t="s">
        <v>1639</v>
      </c>
    </row>
    <row customHeight="1" ht="11.25">
      <c r="A42" s="0" t="s">
        <v>16</v>
      </c>
      <c r="B42" s="0" t="s">
        <v>3275</v>
      </c>
      <c r="C42" s="0" t="s">
        <v>3276</v>
      </c>
      <c r="D42" s="0" t="s">
        <v>3281</v>
      </c>
      <c r="E42" s="0" t="s">
        <v>3282</v>
      </c>
      <c r="F42" s="0" t="s">
        <v>3213</v>
      </c>
      <c r="G42" s="0" t="s">
        <v>1642</v>
      </c>
    </row>
    <row customHeight="1" ht="11.25">
      <c r="A43" s="0" t="s">
        <v>16</v>
      </c>
      <c r="B43" s="0" t="s">
        <v>3275</v>
      </c>
      <c r="C43" s="0" t="s">
        <v>3276</v>
      </c>
      <c r="D43" s="0" t="s">
        <v>3275</v>
      </c>
      <c r="E43" s="0" t="s">
        <v>3276</v>
      </c>
      <c r="F43" s="0" t="s">
        <v>3214</v>
      </c>
      <c r="G43" s="0" t="s">
        <v>1649</v>
      </c>
    </row>
    <row customHeight="1" ht="11.25">
      <c r="A44" s="0" t="s">
        <v>16</v>
      </c>
      <c r="B44" s="0" t="s">
        <v>3275</v>
      </c>
      <c r="C44" s="0" t="s">
        <v>3276</v>
      </c>
      <c r="D44" s="0" t="s">
        <v>3283</v>
      </c>
      <c r="E44" s="0" t="s">
        <v>3284</v>
      </c>
      <c r="F44" s="0" t="s">
        <v>3213</v>
      </c>
      <c r="G44" s="0" t="s">
        <v>1658</v>
      </c>
    </row>
    <row customHeight="1" ht="11.25">
      <c r="A45" s="0" t="s">
        <v>16</v>
      </c>
      <c r="B45" s="0" t="s">
        <v>3275</v>
      </c>
      <c r="C45" s="0" t="s">
        <v>3276</v>
      </c>
      <c r="D45" s="0" t="s">
        <v>3285</v>
      </c>
      <c r="E45" s="0" t="s">
        <v>3286</v>
      </c>
      <c r="F45" s="0" t="s">
        <v>3236</v>
      </c>
      <c r="G45" s="0" t="s">
        <v>1663</v>
      </c>
    </row>
    <row customHeight="1" ht="11.25">
      <c r="A46" s="0" t="s">
        <v>16</v>
      </c>
      <c r="B46" s="0" t="s">
        <v>3275</v>
      </c>
      <c r="C46" s="0" t="s">
        <v>3276</v>
      </c>
      <c r="D46" s="0" t="s">
        <v>3287</v>
      </c>
      <c r="E46" s="0" t="s">
        <v>3288</v>
      </c>
      <c r="F46" s="0" t="s">
        <v>3213</v>
      </c>
      <c r="G46" s="0" t="s">
        <v>1667</v>
      </c>
    </row>
    <row customHeight="1" ht="11.25">
      <c r="A47" s="0" t="s">
        <v>16</v>
      </c>
      <c r="B47" s="0" t="s">
        <v>3275</v>
      </c>
      <c r="C47" s="0" t="s">
        <v>3276</v>
      </c>
      <c r="D47" s="0" t="s">
        <v>3289</v>
      </c>
      <c r="E47" s="0" t="s">
        <v>3290</v>
      </c>
      <c r="F47" s="0" t="s">
        <v>3213</v>
      </c>
      <c r="G47" s="0" t="s">
        <v>1673</v>
      </c>
    </row>
    <row customHeight="1" ht="11.25">
      <c r="A48" s="0" t="s">
        <v>16</v>
      </c>
      <c r="B48" s="0" t="s">
        <v>3291</v>
      </c>
      <c r="C48" s="0" t="s">
        <v>3292</v>
      </c>
      <c r="D48" s="0" t="s">
        <v>3291</v>
      </c>
      <c r="E48" s="0" t="s">
        <v>3292</v>
      </c>
      <c r="F48" s="0" t="s">
        <v>3214</v>
      </c>
      <c r="G48" s="0" t="s">
        <v>1677</v>
      </c>
    </row>
    <row customHeight="1" ht="11.25">
      <c r="A49" s="0" t="s">
        <v>16</v>
      </c>
      <c r="B49" s="0" t="s">
        <v>3291</v>
      </c>
      <c r="C49" s="0" t="s">
        <v>3292</v>
      </c>
      <c r="D49" s="0" t="s">
        <v>3293</v>
      </c>
      <c r="E49" s="0" t="s">
        <v>3294</v>
      </c>
      <c r="F49" s="0" t="s">
        <v>3213</v>
      </c>
      <c r="G49" s="0" t="s">
        <v>1680</v>
      </c>
    </row>
    <row customHeight="1" ht="11.25">
      <c r="A50" s="0" t="s">
        <v>16</v>
      </c>
      <c r="B50" s="0" t="s">
        <v>3291</v>
      </c>
      <c r="C50" s="0" t="s">
        <v>3292</v>
      </c>
      <c r="D50" s="0" t="s">
        <v>3295</v>
      </c>
      <c r="E50" s="0" t="s">
        <v>3296</v>
      </c>
      <c r="F50" s="0" t="s">
        <v>3213</v>
      </c>
      <c r="G50" s="0" t="s">
        <v>1683</v>
      </c>
    </row>
    <row customHeight="1" ht="11.25">
      <c r="A51" s="0" t="s">
        <v>16</v>
      </c>
      <c r="B51" s="0" t="s">
        <v>3291</v>
      </c>
      <c r="C51" s="0" t="s">
        <v>3292</v>
      </c>
      <c r="D51" s="0" t="s">
        <v>3297</v>
      </c>
      <c r="E51" s="0" t="s">
        <v>3298</v>
      </c>
      <c r="F51" s="0" t="s">
        <v>3213</v>
      </c>
      <c r="G51" s="0" t="s">
        <v>1688</v>
      </c>
    </row>
    <row customHeight="1" ht="11.25">
      <c r="A52" s="0" t="s">
        <v>16</v>
      </c>
      <c r="B52" s="0" t="s">
        <v>3299</v>
      </c>
      <c r="C52" s="0" t="s">
        <v>3300</v>
      </c>
      <c r="D52" s="0" t="s">
        <v>3299</v>
      </c>
      <c r="E52" s="0" t="s">
        <v>3300</v>
      </c>
      <c r="F52" s="0" t="s">
        <v>3198</v>
      </c>
      <c r="G52" s="0" t="s">
        <v>1692</v>
      </c>
    </row>
    <row customHeight="1" ht="11.25">
      <c r="A53" s="0" t="s">
        <v>16</v>
      </c>
      <c r="B53" s="0" t="s">
        <v>3301</v>
      </c>
      <c r="C53" s="0" t="s">
        <v>3302</v>
      </c>
      <c r="D53" s="0" t="s">
        <v>3301</v>
      </c>
      <c r="E53" s="0" t="s">
        <v>3302</v>
      </c>
      <c r="F53" s="0" t="s">
        <v>3195</v>
      </c>
      <c r="G53" s="0" t="s">
        <v>1694</v>
      </c>
    </row>
    <row customHeight="1" ht="11.25">
      <c r="A54" s="0" t="s">
        <v>16</v>
      </c>
      <c r="B54" s="0" t="s">
        <v>3303</v>
      </c>
      <c r="C54" s="0" t="s">
        <v>3304</v>
      </c>
      <c r="D54" s="0" t="s">
        <v>3303</v>
      </c>
      <c r="E54" s="0" t="s">
        <v>3304</v>
      </c>
      <c r="F54" s="0" t="s">
        <v>3195</v>
      </c>
      <c r="G54" s="0" t="s">
        <v>1697</v>
      </c>
    </row>
    <row customHeight="1" ht="11.25">
      <c r="A55" s="0" t="s">
        <v>16</v>
      </c>
      <c r="B55" s="0" t="s">
        <v>3305</v>
      </c>
      <c r="C55" s="0" t="s">
        <v>3306</v>
      </c>
      <c r="D55" s="0" t="s">
        <v>3305</v>
      </c>
      <c r="E55" s="0" t="s">
        <v>3306</v>
      </c>
      <c r="F55" s="0" t="s">
        <v>3198</v>
      </c>
      <c r="G55" s="0" t="s">
        <v>1701</v>
      </c>
    </row>
    <row customHeight="1" ht="11.25">
      <c r="A56" s="0" t="s">
        <v>16</v>
      </c>
      <c r="B56" s="0" t="s">
        <v>3307</v>
      </c>
      <c r="C56" s="0" t="s">
        <v>3308</v>
      </c>
      <c r="D56" s="0" t="s">
        <v>3307</v>
      </c>
      <c r="E56" s="0" t="s">
        <v>3308</v>
      </c>
      <c r="F56" s="0" t="s">
        <v>3195</v>
      </c>
      <c r="G56" s="0" t="s">
        <v>1704</v>
      </c>
    </row>
    <row customHeight="1" ht="11.25">
      <c r="A57" s="0" t="s">
        <v>16</v>
      </c>
      <c r="B57" s="0" t="s">
        <v>3309</v>
      </c>
      <c r="C57" s="0" t="s">
        <v>3310</v>
      </c>
      <c r="D57" s="0" t="s">
        <v>3311</v>
      </c>
      <c r="E57" s="0" t="s">
        <v>3312</v>
      </c>
      <c r="F57" s="0" t="s">
        <v>3213</v>
      </c>
      <c r="G57" s="0" t="s">
        <v>1707</v>
      </c>
    </row>
    <row customHeight="1" ht="11.25">
      <c r="A58" s="0" t="s">
        <v>16</v>
      </c>
      <c r="B58" s="0" t="s">
        <v>3309</v>
      </c>
      <c r="C58" s="0" t="s">
        <v>3310</v>
      </c>
      <c r="D58" s="0" t="s">
        <v>3313</v>
      </c>
      <c r="E58" s="0" t="s">
        <v>3314</v>
      </c>
      <c r="F58" s="0" t="s">
        <v>3213</v>
      </c>
      <c r="G58" s="0" t="s">
        <v>1710</v>
      </c>
    </row>
    <row customHeight="1" ht="11.25">
      <c r="A59" s="0" t="s">
        <v>16</v>
      </c>
      <c r="B59" s="0" t="s">
        <v>3309</v>
      </c>
      <c r="C59" s="0" t="s">
        <v>3310</v>
      </c>
      <c r="D59" s="0" t="s">
        <v>3315</v>
      </c>
      <c r="E59" s="0" t="s">
        <v>3316</v>
      </c>
      <c r="F59" s="0" t="s">
        <v>3213</v>
      </c>
      <c r="G59" s="0" t="s">
        <v>1714</v>
      </c>
    </row>
    <row customHeight="1" ht="11.25">
      <c r="A60" s="0" t="s">
        <v>16</v>
      </c>
      <c r="B60" s="0" t="s">
        <v>3309</v>
      </c>
      <c r="C60" s="0" t="s">
        <v>3310</v>
      </c>
      <c r="D60" s="0" t="s">
        <v>3317</v>
      </c>
      <c r="E60" s="0" t="s">
        <v>3318</v>
      </c>
      <c r="F60" s="0" t="s">
        <v>3219</v>
      </c>
      <c r="G60" s="0" t="s">
        <v>1717</v>
      </c>
    </row>
    <row customHeight="1" ht="11.25">
      <c r="A61" s="0" t="s">
        <v>16</v>
      </c>
      <c r="B61" s="0" t="s">
        <v>3309</v>
      </c>
      <c r="C61" s="0" t="s">
        <v>3310</v>
      </c>
      <c r="D61" s="0" t="s">
        <v>3319</v>
      </c>
      <c r="E61" s="0" t="s">
        <v>3320</v>
      </c>
      <c r="F61" s="0" t="s">
        <v>3213</v>
      </c>
      <c r="G61" s="0" t="s">
        <v>3321</v>
      </c>
    </row>
    <row customHeight="1" ht="11.25">
      <c r="A62" s="0" t="s">
        <v>16</v>
      </c>
      <c r="B62" s="0" t="s">
        <v>3309</v>
      </c>
      <c r="C62" s="0" t="s">
        <v>3310</v>
      </c>
      <c r="D62" s="0" t="s">
        <v>3322</v>
      </c>
      <c r="E62" s="0" t="s">
        <v>3323</v>
      </c>
      <c r="F62" s="0" t="s">
        <v>3213</v>
      </c>
      <c r="G62" s="0" t="s">
        <v>3324</v>
      </c>
    </row>
    <row customHeight="1" ht="11.25">
      <c r="A63" s="0" t="s">
        <v>16</v>
      </c>
      <c r="B63" s="0" t="s">
        <v>3309</v>
      </c>
      <c r="C63" s="0" t="s">
        <v>3310</v>
      </c>
      <c r="D63" s="0" t="s">
        <v>3309</v>
      </c>
      <c r="E63" s="0" t="s">
        <v>3310</v>
      </c>
      <c r="F63" s="0" t="s">
        <v>3214</v>
      </c>
      <c r="G63" s="0" t="s">
        <v>3325</v>
      </c>
    </row>
    <row customHeight="1" ht="11.25">
      <c r="A64" s="0" t="s">
        <v>16</v>
      </c>
      <c r="B64" s="0" t="s">
        <v>3309</v>
      </c>
      <c r="C64" s="0" t="s">
        <v>3310</v>
      </c>
      <c r="D64" s="0" t="s">
        <v>3326</v>
      </c>
      <c r="E64" s="0" t="s">
        <v>3327</v>
      </c>
      <c r="F64" s="0" t="s">
        <v>3213</v>
      </c>
      <c r="G64" s="0" t="s">
        <v>3328</v>
      </c>
    </row>
    <row customHeight="1" ht="11.25">
      <c r="A65" s="0" t="s">
        <v>16</v>
      </c>
      <c r="B65" s="0" t="s">
        <v>3329</v>
      </c>
      <c r="C65" s="0" t="s">
        <v>3330</v>
      </c>
      <c r="D65" s="0" t="s">
        <v>3329</v>
      </c>
      <c r="E65" s="0" t="s">
        <v>3330</v>
      </c>
      <c r="F65" s="0" t="s">
        <v>3195</v>
      </c>
      <c r="G65" s="0" t="s">
        <v>3331</v>
      </c>
    </row>
    <row customHeight="1" ht="11.25">
      <c r="A66" s="0" t="s">
        <v>16</v>
      </c>
      <c r="B66" s="0" t="s">
        <v>3332</v>
      </c>
      <c r="C66" s="0" t="s">
        <v>3333</v>
      </c>
      <c r="D66" s="0" t="s">
        <v>3332</v>
      </c>
      <c r="E66" s="0" t="s">
        <v>3333</v>
      </c>
      <c r="F66" s="0" t="s">
        <v>3195</v>
      </c>
      <c r="G66" s="0" t="s">
        <v>3334</v>
      </c>
    </row>
    <row customHeight="1" ht="11.25">
      <c r="A67" s="0" t="s">
        <v>16</v>
      </c>
      <c r="B67" s="0" t="s">
        <v>3335</v>
      </c>
      <c r="C67" s="0" t="s">
        <v>3336</v>
      </c>
      <c r="D67" s="0" t="s">
        <v>3337</v>
      </c>
      <c r="E67" s="0" t="s">
        <v>3338</v>
      </c>
      <c r="F67" s="0" t="s">
        <v>3213</v>
      </c>
      <c r="G67" s="0" t="s">
        <v>2036</v>
      </c>
    </row>
    <row customHeight="1" ht="11.25">
      <c r="A68" s="0" t="s">
        <v>16</v>
      </c>
      <c r="B68" s="0" t="s">
        <v>3335</v>
      </c>
      <c r="C68" s="0" t="s">
        <v>3336</v>
      </c>
      <c r="D68" s="0" t="s">
        <v>3339</v>
      </c>
      <c r="E68" s="0" t="s">
        <v>3340</v>
      </c>
      <c r="F68" s="0" t="s">
        <v>3213</v>
      </c>
      <c r="G68" s="0" t="s">
        <v>3341</v>
      </c>
    </row>
    <row customHeight="1" ht="11.25">
      <c r="A69" s="0" t="s">
        <v>16</v>
      </c>
      <c r="B69" s="0" t="s">
        <v>3335</v>
      </c>
      <c r="C69" s="0" t="s">
        <v>3336</v>
      </c>
      <c r="D69" s="0" t="s">
        <v>3342</v>
      </c>
      <c r="E69" s="0" t="s">
        <v>3343</v>
      </c>
      <c r="F69" s="0" t="s">
        <v>3213</v>
      </c>
      <c r="G69" s="0" t="s">
        <v>2239</v>
      </c>
    </row>
    <row customHeight="1" ht="11.25">
      <c r="A70" s="0" t="s">
        <v>16</v>
      </c>
      <c r="B70" s="0" t="s">
        <v>3335</v>
      </c>
      <c r="C70" s="0" t="s">
        <v>3336</v>
      </c>
      <c r="D70" s="0" t="s">
        <v>3344</v>
      </c>
      <c r="E70" s="0" t="s">
        <v>3345</v>
      </c>
      <c r="F70" s="0" t="s">
        <v>3213</v>
      </c>
      <c r="G70" s="0" t="s">
        <v>3346</v>
      </c>
    </row>
    <row customHeight="1" ht="11.25">
      <c r="A71" s="0" t="s">
        <v>16</v>
      </c>
      <c r="B71" s="0" t="s">
        <v>3335</v>
      </c>
      <c r="C71" s="0" t="s">
        <v>3336</v>
      </c>
      <c r="D71" s="0" t="s">
        <v>3347</v>
      </c>
      <c r="E71" s="0" t="s">
        <v>3348</v>
      </c>
      <c r="F71" s="0" t="s">
        <v>3213</v>
      </c>
      <c r="G71" s="0" t="s">
        <v>3349</v>
      </c>
    </row>
    <row customHeight="1" ht="11.25">
      <c r="A72" s="0" t="s">
        <v>16</v>
      </c>
      <c r="B72" s="0" t="s">
        <v>3335</v>
      </c>
      <c r="C72" s="0" t="s">
        <v>3336</v>
      </c>
      <c r="D72" s="0" t="s">
        <v>3335</v>
      </c>
      <c r="E72" s="0" t="s">
        <v>3336</v>
      </c>
      <c r="F72" s="0" t="s">
        <v>3214</v>
      </c>
      <c r="G72" s="0" t="s">
        <v>3350</v>
      </c>
    </row>
    <row customHeight="1" ht="11.25">
      <c r="A73" s="0" t="s">
        <v>16</v>
      </c>
      <c r="B73" s="0" t="s">
        <v>3335</v>
      </c>
      <c r="C73" s="0" t="s">
        <v>3336</v>
      </c>
      <c r="D73" s="0" t="s">
        <v>3351</v>
      </c>
      <c r="E73" s="0" t="s">
        <v>3352</v>
      </c>
      <c r="F73" s="0" t="s">
        <v>3213</v>
      </c>
      <c r="G73" s="0" t="s">
        <v>3353</v>
      </c>
    </row>
    <row customHeight="1" ht="11.25">
      <c r="A74" s="0" t="s">
        <v>16</v>
      </c>
      <c r="B74" s="0" t="s">
        <v>3335</v>
      </c>
      <c r="C74" s="0" t="s">
        <v>3336</v>
      </c>
      <c r="D74" s="0" t="s">
        <v>3354</v>
      </c>
      <c r="E74" s="0" t="s">
        <v>3355</v>
      </c>
      <c r="F74" s="0" t="s">
        <v>3213</v>
      </c>
      <c r="G74" s="0" t="s">
        <v>3356</v>
      </c>
    </row>
    <row customHeight="1" ht="11.25">
      <c r="A75" s="0" t="s">
        <v>16</v>
      </c>
      <c r="B75" s="0" t="s">
        <v>3335</v>
      </c>
      <c r="C75" s="0" t="s">
        <v>3336</v>
      </c>
      <c r="D75" s="0" t="s">
        <v>3357</v>
      </c>
      <c r="E75" s="0" t="s">
        <v>3358</v>
      </c>
      <c r="F75" s="0" t="s">
        <v>3213</v>
      </c>
      <c r="G75" s="0" t="s">
        <v>3359</v>
      </c>
    </row>
    <row customHeight="1" ht="11.25">
      <c r="A76" s="0" t="s">
        <v>16</v>
      </c>
      <c r="B76" s="0" t="s">
        <v>3360</v>
      </c>
      <c r="C76" s="0" t="s">
        <v>3361</v>
      </c>
      <c r="D76" s="0" t="s">
        <v>3360</v>
      </c>
      <c r="E76" s="0" t="s">
        <v>3361</v>
      </c>
      <c r="F76" s="0" t="s">
        <v>3195</v>
      </c>
      <c r="G76" s="0" t="s">
        <v>3362</v>
      </c>
    </row>
    <row customHeight="1" ht="11.25">
      <c r="A77" s="0" t="s">
        <v>16</v>
      </c>
      <c r="B77" s="0" t="s">
        <v>100</v>
      </c>
      <c r="C77" s="0" t="s">
        <v>101</v>
      </c>
      <c r="D77" s="0" t="s">
        <v>100</v>
      </c>
      <c r="E77" s="0" t="s">
        <v>101</v>
      </c>
      <c r="F77" s="0" t="s">
        <v>3198</v>
      </c>
      <c r="G77" s="0" t="s">
        <v>99</v>
      </c>
    </row>
    <row customHeight="1" ht="11.25">
      <c r="A78" s="0" t="s">
        <v>16</v>
      </c>
      <c r="B78" s="0" t="s">
        <v>3363</v>
      </c>
      <c r="C78" s="0" t="s">
        <v>3364</v>
      </c>
      <c r="D78" s="0" t="s">
        <v>3363</v>
      </c>
      <c r="E78" s="0" t="s">
        <v>3364</v>
      </c>
      <c r="F78" s="0" t="s">
        <v>3195</v>
      </c>
      <c r="G78" s="0" t="s">
        <v>3365</v>
      </c>
    </row>
    <row customHeight="1" ht="11.25">
      <c r="A79" s="0" t="s">
        <v>16</v>
      </c>
      <c r="B79" s="0" t="s">
        <v>3366</v>
      </c>
      <c r="C79" s="0" t="s">
        <v>3367</v>
      </c>
      <c r="D79" s="0" t="s">
        <v>3366</v>
      </c>
      <c r="E79" s="0" t="s">
        <v>3367</v>
      </c>
      <c r="F79" s="0" t="s">
        <v>3195</v>
      </c>
      <c r="G79" s="0" t="s">
        <v>3368</v>
      </c>
    </row>
    <row customHeight="1" ht="11.25">
      <c r="A80" s="0" t="s">
        <v>16</v>
      </c>
      <c r="B80" s="0" t="s">
        <v>3369</v>
      </c>
      <c r="C80" s="0" t="s">
        <v>3370</v>
      </c>
      <c r="D80" s="0" t="s">
        <v>3369</v>
      </c>
      <c r="E80" s="0" t="s">
        <v>3370</v>
      </c>
      <c r="F80" s="0" t="s">
        <v>3195</v>
      </c>
      <c r="G80" s="0" t="s">
        <v>3371</v>
      </c>
    </row>
    <row customHeight="1" ht="11.25">
      <c r="A81" s="0" t="s">
        <v>16</v>
      </c>
      <c r="B81" s="0" t="s">
        <v>3372</v>
      </c>
      <c r="C81" s="0" t="s">
        <v>3373</v>
      </c>
      <c r="D81" s="0" t="s">
        <v>3372</v>
      </c>
      <c r="E81" s="0" t="s">
        <v>3373</v>
      </c>
      <c r="F81" s="0" t="s">
        <v>3195</v>
      </c>
      <c r="G81" s="0" t="s">
        <v>3374</v>
      </c>
    </row>
    <row customHeight="1" ht="11.25">
      <c r="A82" s="0" t="s">
        <v>16</v>
      </c>
      <c r="B82" s="0" t="s">
        <v>3375</v>
      </c>
      <c r="C82" s="0" t="s">
        <v>3376</v>
      </c>
      <c r="D82" s="0" t="s">
        <v>3377</v>
      </c>
      <c r="E82" s="0" t="s">
        <v>3378</v>
      </c>
      <c r="F82" s="0" t="s">
        <v>3213</v>
      </c>
      <c r="G82" s="0" t="s">
        <v>3379</v>
      </c>
    </row>
    <row customHeight="1" ht="11.25">
      <c r="A83" s="0" t="s">
        <v>16</v>
      </c>
      <c r="B83" s="0" t="s">
        <v>3375</v>
      </c>
      <c r="C83" s="0" t="s">
        <v>3376</v>
      </c>
      <c r="D83" s="0" t="s">
        <v>3380</v>
      </c>
      <c r="E83" s="0" t="s">
        <v>3381</v>
      </c>
      <c r="F83" s="0" t="s">
        <v>3219</v>
      </c>
      <c r="G83" s="0" t="s">
        <v>3382</v>
      </c>
    </row>
    <row customHeight="1" ht="11.25">
      <c r="A84" s="0" t="s">
        <v>16</v>
      </c>
      <c r="B84" s="0" t="s">
        <v>3375</v>
      </c>
      <c r="C84" s="0" t="s">
        <v>3376</v>
      </c>
      <c r="D84" s="0" t="s">
        <v>3383</v>
      </c>
      <c r="E84" s="0" t="s">
        <v>3384</v>
      </c>
      <c r="F84" s="0" t="s">
        <v>3213</v>
      </c>
      <c r="G84" s="0" t="s">
        <v>3385</v>
      </c>
    </row>
    <row customHeight="1" ht="11.25">
      <c r="A85" s="0" t="s">
        <v>16</v>
      </c>
      <c r="B85" s="0" t="s">
        <v>3375</v>
      </c>
      <c r="C85" s="0" t="s">
        <v>3376</v>
      </c>
      <c r="D85" s="0" t="s">
        <v>3386</v>
      </c>
      <c r="E85" s="0" t="s">
        <v>3387</v>
      </c>
      <c r="F85" s="0" t="s">
        <v>3236</v>
      </c>
      <c r="G85" s="0" t="s">
        <v>3388</v>
      </c>
    </row>
    <row customHeight="1" ht="11.25">
      <c r="A86" s="0" t="s">
        <v>16</v>
      </c>
      <c r="B86" s="0" t="s">
        <v>3375</v>
      </c>
      <c r="C86" s="0" t="s">
        <v>3376</v>
      </c>
      <c r="D86" s="0" t="s">
        <v>3389</v>
      </c>
      <c r="E86" s="0" t="s">
        <v>3390</v>
      </c>
      <c r="F86" s="0" t="s">
        <v>3213</v>
      </c>
      <c r="G86" s="0" t="s">
        <v>3391</v>
      </c>
    </row>
    <row customHeight="1" ht="11.25">
      <c r="A87" s="0" t="s">
        <v>16</v>
      </c>
      <c r="B87" s="0" t="s">
        <v>3375</v>
      </c>
      <c r="C87" s="0" t="s">
        <v>3376</v>
      </c>
      <c r="D87" s="0" t="s">
        <v>3375</v>
      </c>
      <c r="E87" s="0" t="s">
        <v>3376</v>
      </c>
      <c r="F87" s="0" t="s">
        <v>3214</v>
      </c>
      <c r="G87" s="0" t="s">
        <v>3392</v>
      </c>
    </row>
    <row customHeight="1" ht="11.25">
      <c r="A88" s="0" t="s">
        <v>16</v>
      </c>
      <c r="B88" s="0" t="s">
        <v>3375</v>
      </c>
      <c r="C88" s="0" t="s">
        <v>3376</v>
      </c>
      <c r="D88" s="0" t="s">
        <v>3393</v>
      </c>
      <c r="E88" s="0" t="s">
        <v>3394</v>
      </c>
      <c r="F88" s="0" t="s">
        <v>3213</v>
      </c>
      <c r="G88" s="0" t="s">
        <v>3395</v>
      </c>
    </row>
    <row customHeight="1" ht="11.25">
      <c r="A89" s="0" t="s">
        <v>16</v>
      </c>
      <c r="B89" s="0" t="s">
        <v>3396</v>
      </c>
      <c r="C89" s="0" t="s">
        <v>3397</v>
      </c>
      <c r="D89" s="0" t="s">
        <v>3396</v>
      </c>
      <c r="E89" s="0" t="s">
        <v>3397</v>
      </c>
      <c r="F89" s="0" t="s">
        <v>3195</v>
      </c>
      <c r="G89" s="0" t="s">
        <v>3398</v>
      </c>
    </row>
    <row customHeight="1" ht="11.25">
      <c r="A90" s="0" t="s">
        <v>16</v>
      </c>
      <c r="B90" s="0" t="s">
        <v>3399</v>
      </c>
      <c r="C90" s="0" t="s">
        <v>3400</v>
      </c>
      <c r="D90" s="0" t="s">
        <v>3399</v>
      </c>
      <c r="E90" s="0" t="s">
        <v>3400</v>
      </c>
      <c r="F90" s="0" t="s">
        <v>3195</v>
      </c>
      <c r="G90" s="0" t="s">
        <v>3401</v>
      </c>
    </row>
    <row customHeight="1" ht="11.25">
      <c r="A91" s="0" t="s">
        <v>16</v>
      </c>
      <c r="B91" s="0" t="s">
        <v>3402</v>
      </c>
      <c r="C91" s="0" t="s">
        <v>3403</v>
      </c>
      <c r="D91" s="0" t="s">
        <v>3404</v>
      </c>
      <c r="E91" s="0" t="s">
        <v>3405</v>
      </c>
      <c r="F91" s="0" t="s">
        <v>3213</v>
      </c>
      <c r="G91" s="0" t="s">
        <v>3406</v>
      </c>
    </row>
    <row customHeight="1" ht="11.25">
      <c r="A92" s="0" t="s">
        <v>16</v>
      </c>
      <c r="B92" s="0" t="s">
        <v>3402</v>
      </c>
      <c r="C92" s="0" t="s">
        <v>3403</v>
      </c>
      <c r="D92" s="0" t="s">
        <v>3407</v>
      </c>
      <c r="E92" s="0" t="s">
        <v>3408</v>
      </c>
      <c r="F92" s="0" t="s">
        <v>3213</v>
      </c>
      <c r="G92" s="0" t="s">
        <v>3409</v>
      </c>
    </row>
    <row customHeight="1" ht="11.25">
      <c r="A93" s="0" t="s">
        <v>16</v>
      </c>
      <c r="B93" s="0" t="s">
        <v>3402</v>
      </c>
      <c r="C93" s="0" t="s">
        <v>3403</v>
      </c>
      <c r="D93" s="0" t="s">
        <v>3410</v>
      </c>
      <c r="E93" s="0" t="s">
        <v>3411</v>
      </c>
      <c r="F93" s="0" t="s">
        <v>3213</v>
      </c>
      <c r="G93" s="0" t="s">
        <v>3412</v>
      </c>
    </row>
    <row customHeight="1" ht="11.25">
      <c r="A94" s="0" t="s">
        <v>16</v>
      </c>
      <c r="B94" s="0" t="s">
        <v>3402</v>
      </c>
      <c r="C94" s="0" t="s">
        <v>3403</v>
      </c>
      <c r="D94" s="0" t="s">
        <v>3413</v>
      </c>
      <c r="E94" s="0" t="s">
        <v>3414</v>
      </c>
      <c r="F94" s="0" t="s">
        <v>3236</v>
      </c>
      <c r="G94" s="0" t="s">
        <v>3415</v>
      </c>
    </row>
    <row customHeight="1" ht="11.25">
      <c r="A95" s="0" t="s">
        <v>16</v>
      </c>
      <c r="B95" s="0" t="s">
        <v>3402</v>
      </c>
      <c r="C95" s="0" t="s">
        <v>3403</v>
      </c>
      <c r="D95" s="0" t="s">
        <v>3416</v>
      </c>
      <c r="E95" s="0" t="s">
        <v>3417</v>
      </c>
      <c r="F95" s="0" t="s">
        <v>3213</v>
      </c>
      <c r="G95" s="0" t="s">
        <v>3418</v>
      </c>
    </row>
    <row customHeight="1" ht="11.25">
      <c r="A96" s="0" t="s">
        <v>16</v>
      </c>
      <c r="B96" s="0" t="s">
        <v>3402</v>
      </c>
      <c r="C96" s="0" t="s">
        <v>3403</v>
      </c>
      <c r="D96" s="0" t="s">
        <v>3402</v>
      </c>
      <c r="E96" s="0" t="s">
        <v>3403</v>
      </c>
      <c r="F96" s="0" t="s">
        <v>3214</v>
      </c>
      <c r="G96" s="0" t="s">
        <v>3419</v>
      </c>
    </row>
    <row customHeight="1" ht="11.25">
      <c r="A97" s="0" t="s">
        <v>16</v>
      </c>
      <c r="B97" s="0" t="s">
        <v>3402</v>
      </c>
      <c r="C97" s="0" t="s">
        <v>3403</v>
      </c>
      <c r="D97" s="0" t="s">
        <v>3420</v>
      </c>
      <c r="E97" s="0" t="s">
        <v>3421</v>
      </c>
      <c r="F97" s="0" t="s">
        <v>3236</v>
      </c>
      <c r="G97" s="0" t="s">
        <v>3422</v>
      </c>
    </row>
    <row customHeight="1" ht="11.25">
      <c r="A98" s="0" t="s">
        <v>16</v>
      </c>
      <c r="B98" s="0" t="s">
        <v>3402</v>
      </c>
      <c r="C98" s="0" t="s">
        <v>3403</v>
      </c>
      <c r="D98" s="0" t="s">
        <v>3423</v>
      </c>
      <c r="E98" s="0" t="s">
        <v>3424</v>
      </c>
      <c r="F98" s="0" t="s">
        <v>3213</v>
      </c>
      <c r="G98" s="0" t="s">
        <v>3425</v>
      </c>
    </row>
    <row customHeight="1" ht="11.25">
      <c r="A99" s="0" t="s">
        <v>16</v>
      </c>
      <c r="B99" s="0" t="s">
        <v>3426</v>
      </c>
      <c r="C99" s="0" t="s">
        <v>3427</v>
      </c>
      <c r="D99" s="0" t="s">
        <v>3426</v>
      </c>
      <c r="E99" s="0" t="s">
        <v>3427</v>
      </c>
      <c r="F99" s="0" t="s">
        <v>3195</v>
      </c>
      <c r="G99" s="0" t="s">
        <v>3428</v>
      </c>
    </row>
    <row customHeight="1" ht="11.25">
      <c r="A100" s="0" t="s">
        <v>16</v>
      </c>
      <c r="B100" s="0" t="s">
        <v>3429</v>
      </c>
      <c r="C100" s="0" t="s">
        <v>3430</v>
      </c>
      <c r="D100" s="0" t="s">
        <v>3431</v>
      </c>
      <c r="E100" s="0" t="s">
        <v>3432</v>
      </c>
      <c r="F100" s="0" t="s">
        <v>3213</v>
      </c>
      <c r="G100" s="0" t="s">
        <v>3433</v>
      </c>
    </row>
    <row customHeight="1" ht="11.25">
      <c r="A101" s="0" t="s">
        <v>16</v>
      </c>
      <c r="B101" s="0" t="s">
        <v>3429</v>
      </c>
      <c r="C101" s="0" t="s">
        <v>3430</v>
      </c>
      <c r="D101" s="0" t="s">
        <v>3434</v>
      </c>
      <c r="E101" s="0" t="s">
        <v>3435</v>
      </c>
      <c r="F101" s="0" t="s">
        <v>3213</v>
      </c>
      <c r="G101" s="0" t="s">
        <v>3436</v>
      </c>
    </row>
    <row customHeight="1" ht="11.25">
      <c r="A102" s="0" t="s">
        <v>16</v>
      </c>
      <c r="B102" s="0" t="s">
        <v>3429</v>
      </c>
      <c r="C102" s="0" t="s">
        <v>3430</v>
      </c>
      <c r="D102" s="0" t="s">
        <v>3437</v>
      </c>
      <c r="E102" s="0" t="s">
        <v>3438</v>
      </c>
      <c r="F102" s="0" t="s">
        <v>3213</v>
      </c>
      <c r="G102" s="0" t="s">
        <v>3439</v>
      </c>
    </row>
    <row customHeight="1" ht="11.25">
      <c r="A103" s="0" t="s">
        <v>16</v>
      </c>
      <c r="B103" s="0" t="s">
        <v>3429</v>
      </c>
      <c r="C103" s="0" t="s">
        <v>3430</v>
      </c>
      <c r="D103" s="0" t="s">
        <v>3440</v>
      </c>
      <c r="E103" s="0" t="s">
        <v>3441</v>
      </c>
      <c r="F103" s="0" t="s">
        <v>3213</v>
      </c>
      <c r="G103" s="0" t="s">
        <v>3442</v>
      </c>
    </row>
    <row customHeight="1" ht="11.25">
      <c r="A104" s="0" t="s">
        <v>16</v>
      </c>
      <c r="B104" s="0" t="s">
        <v>3429</v>
      </c>
      <c r="C104" s="0" t="s">
        <v>3430</v>
      </c>
      <c r="D104" s="0" t="s">
        <v>3429</v>
      </c>
      <c r="E104" s="0" t="s">
        <v>3430</v>
      </c>
      <c r="F104" s="0" t="s">
        <v>3214</v>
      </c>
      <c r="G104" s="0" t="s">
        <v>3443</v>
      </c>
    </row>
    <row customHeight="1" ht="11.25">
      <c r="A105" s="0" t="s">
        <v>16</v>
      </c>
      <c r="B105" s="0" t="s">
        <v>3429</v>
      </c>
      <c r="C105" s="0" t="s">
        <v>3430</v>
      </c>
      <c r="D105" s="0" t="s">
        <v>3444</v>
      </c>
      <c r="E105" s="0" t="s">
        <v>3445</v>
      </c>
      <c r="F105" s="0" t="s">
        <v>3213</v>
      </c>
      <c r="G105" s="0" t="s">
        <v>3446</v>
      </c>
    </row>
    <row customHeight="1" ht="11.25">
      <c r="A106" s="0" t="s">
        <v>16</v>
      </c>
      <c r="B106" s="0" t="s">
        <v>3447</v>
      </c>
      <c r="C106" s="0" t="s">
        <v>3448</v>
      </c>
      <c r="D106" s="0" t="s">
        <v>3447</v>
      </c>
      <c r="E106" s="0" t="s">
        <v>3448</v>
      </c>
      <c r="F106" s="0" t="s">
        <v>3198</v>
      </c>
      <c r="G106" s="0" t="s">
        <v>3449</v>
      </c>
    </row>
    <row customHeight="1" ht="11.25">
      <c r="A107" s="0" t="s">
        <v>16</v>
      </c>
      <c r="B107" s="0" t="s">
        <v>3450</v>
      </c>
      <c r="C107" s="0" t="s">
        <v>3451</v>
      </c>
      <c r="D107" s="0" t="s">
        <v>3450</v>
      </c>
      <c r="E107" s="0" t="s">
        <v>3451</v>
      </c>
      <c r="F107" s="0" t="s">
        <v>3198</v>
      </c>
      <c r="G107" s="0" t="s">
        <v>3452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2EA8A-CF49-6234-1894-BAFC25B43FA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559" width="9.140625"/>
    <col min="2" max="2" style="16559" width="84.28125" customWidth="1"/>
    <col min="3" max="3" style="16559" width="9.140625"/>
  </cols>
  <sheetData>
    <row customHeight="1" ht="11.25">
      <c r="A1" s="1062" t="s">
        <v>3474</v>
      </c>
      <c r="B1" s="1062" t="s">
        <v>3475</v>
      </c>
      <c r="C1" s="1062" t="s">
        <v>1182</v>
      </c>
    </row>
    <row customHeight="1" ht="11.25">
      <c r="A2" s="1062">
        <v>4189678</v>
      </c>
      <c r="B2" s="1062" t="s">
        <v>3476</v>
      </c>
      <c r="C2" s="1062" t="s">
        <v>3477</v>
      </c>
    </row>
    <row customHeight="1" ht="11.25">
      <c r="A3" s="1062">
        <v>4190415</v>
      </c>
      <c r="B3" s="1062" t="s">
        <v>3478</v>
      </c>
      <c r="C3" s="1062" t="s">
        <v>3477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33503-5D45-F84C-9FF7-6636C7EA933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63" width="38.421875" customWidth="1"/>
    <col min="2" max="5" style="16563" width="9.140625"/>
  </cols>
  <sheetData>
    <row customHeight="1" ht="15">
      <c r="A1" s="390" t="s">
        <v>3479</v>
      </c>
      <c r="B1" s="390" t="s">
        <v>3480</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5E8F5-828B-9417-2022-6DDD3CF250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3481</v>
      </c>
      <c r="B1" s="0" t="b">
        <v>1</v>
      </c>
    </row>
    <row customHeight="1" ht="11.25">
      <c r="A2" s="0" t="s">
        <v>3482</v>
      </c>
      <c r="B2" s="0" t="b">
        <v>0</v>
      </c>
    </row>
    <row customHeight="1" ht="11.25">
      <c r="A3" s="0" t="s">
        <v>3483</v>
      </c>
      <c r="B3" s="0" t="b">
        <v>0</v>
      </c>
    </row>
    <row customHeight="1" ht="11.25">
      <c r="A4" s="0" t="s">
        <v>3484</v>
      </c>
      <c r="B4" s="0" t="b">
        <v>1</v>
      </c>
    </row>
    <row customHeight="1" ht="11.25">
      <c r="A5" s="0" t="s">
        <v>3485</v>
      </c>
      <c r="B5" s="0" t="b">
        <v>0</v>
      </c>
    </row>
    <row customHeight="1" ht="11.25">
      <c r="A6" s="0" t="s">
        <v>3486</v>
      </c>
      <c r="B6" s="0" t="b">
        <v>0</v>
      </c>
    </row>
    <row customHeight="1" ht="11.25">
      <c r="A7" s="0" t="s">
        <v>3487</v>
      </c>
      <c r="B7" s="0" t="b">
        <v>0</v>
      </c>
    </row>
    <row customHeight="1" ht="11.25">
      <c r="A8" s="0" t="s">
        <v>3488</v>
      </c>
      <c r="B8" s="0" t="b">
        <v>0</v>
      </c>
    </row>
    <row customHeight="1" ht="11.25">
      <c r="A9" s="0" t="s">
        <v>3489</v>
      </c>
      <c r="B9" s="0" t="b">
        <v>0</v>
      </c>
    </row>
    <row customHeight="1" ht="11.25">
      <c r="A10" s="0" t="s">
        <v>3490</v>
      </c>
      <c r="B10" s="0" t="b">
        <v>0</v>
      </c>
    </row>
    <row customHeight="1" ht="11.25">
      <c r="A11" s="0" t="s">
        <v>3491</v>
      </c>
      <c r="B11" s="0" t="b">
        <v>0</v>
      </c>
    </row>
    <row customHeight="1" ht="11.25">
      <c r="A12" s="0" t="s">
        <v>3492</v>
      </c>
      <c r="B12" s="0" t="b">
        <v>0</v>
      </c>
    </row>
    <row customHeight="1" ht="11.25">
      <c r="A13" s="0" t="s">
        <v>3493</v>
      </c>
      <c r="B13" s="0" t="b">
        <v>0</v>
      </c>
    </row>
    <row customHeight="1" ht="11.25">
      <c r="A14" s="0" t="s">
        <v>3494</v>
      </c>
      <c r="B14" s="0" t="b">
        <v>1</v>
      </c>
    </row>
    <row customHeight="1" ht="11.25">
      <c r="A15" s="0" t="s">
        <v>3495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EACC9-0BA6-9B31-B797-D21E4591DF8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097"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E99DA-F6DB-0213-AA8B-67D79D6AAC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282" width="36.28125" customWidth="1"/>
    <col min="2" max="2" style="13282" width="21.140625" customWidth="1"/>
  </cols>
  <sheetData>
    <row customHeight="1" ht="11.25">
      <c r="A1" s="294" t="s">
        <v>3496</v>
      </c>
      <c r="B1" s="294" t="s">
        <v>3497</v>
      </c>
    </row>
    <row customHeight="1" ht="11.25">
      <c r="A2" s="289" t="s">
        <v>3498</v>
      </c>
      <c r="B2" s="289" t="s">
        <v>3499</v>
      </c>
    </row>
    <row customHeight="1" ht="11.25">
      <c r="A3" s="289" t="s">
        <v>3500</v>
      </c>
      <c r="B3" s="289" t="s">
        <v>3501</v>
      </c>
    </row>
    <row customHeight="1" ht="11.25">
      <c r="A4" s="289" t="s">
        <v>3502</v>
      </c>
      <c r="B4" s="289" t="s">
        <v>3503</v>
      </c>
    </row>
    <row customHeight="1" ht="11.25">
      <c r="A5" s="289" t="s">
        <v>3504</v>
      </c>
      <c r="B5" s="289" t="s">
        <v>3505</v>
      </c>
    </row>
    <row customHeight="1" ht="11.25">
      <c r="A6" s="289" t="s">
        <v>3506</v>
      </c>
      <c r="B6" s="289" t="s">
        <v>3507</v>
      </c>
    </row>
    <row customHeight="1" ht="11.25">
      <c r="A7" s="289" t="s">
        <v>3508</v>
      </c>
      <c r="B7" s="289" t="s">
        <v>3509</v>
      </c>
    </row>
    <row customHeight="1" ht="11.25">
      <c r="A8" s="289" t="s">
        <v>3510</v>
      </c>
      <c r="B8" s="289" t="s">
        <v>3511</v>
      </c>
    </row>
    <row customHeight="1" ht="11.25">
      <c r="A9" s="289" t="s">
        <v>3512</v>
      </c>
      <c r="B9" s="289" t="s">
        <v>3513</v>
      </c>
    </row>
    <row customHeight="1" ht="11.25">
      <c r="A10" s="289" t="s">
        <v>3514</v>
      </c>
      <c r="B10" s="289" t="s">
        <v>3515</v>
      </c>
    </row>
    <row customHeight="1" ht="11.25">
      <c r="A11" s="289" t="s">
        <v>3516</v>
      </c>
      <c r="B11" s="289" t="s">
        <v>3517</v>
      </c>
    </row>
    <row customHeight="1" ht="11.25">
      <c r="A12" s="289" t="s">
        <v>3518</v>
      </c>
      <c r="B12" s="289" t="s">
        <v>3519</v>
      </c>
    </row>
    <row customHeight="1" ht="11.25">
      <c r="A13" s="289" t="s">
        <v>3520</v>
      </c>
      <c r="B13" s="289" t="s">
        <v>3521</v>
      </c>
    </row>
    <row customHeight="1" ht="11.25">
      <c r="A14" s="289" t="s">
        <v>3522</v>
      </c>
      <c r="B14" s="289" t="s">
        <v>3523</v>
      </c>
    </row>
    <row customHeight="1" ht="11.25">
      <c r="A15" s="289" t="s">
        <v>3524</v>
      </c>
      <c r="B15" s="289" t="s">
        <v>3525</v>
      </c>
    </row>
    <row customHeight="1" ht="11.25">
      <c r="A16" s="289" t="s">
        <v>3526</v>
      </c>
      <c r="B16" s="289" t="s">
        <v>3527</v>
      </c>
    </row>
    <row customHeight="1" ht="11.25">
      <c r="A17" s="289" t="s">
        <v>3528</v>
      </c>
      <c r="B17" s="289" t="s">
        <v>3529</v>
      </c>
    </row>
    <row customHeight="1" ht="11.25">
      <c r="A18" s="289" t="s">
        <v>3530</v>
      </c>
      <c r="B18" s="289" t="s">
        <v>3531</v>
      </c>
    </row>
    <row customHeight="1" ht="11.25">
      <c r="A19" s="289" t="s">
        <v>3532</v>
      </c>
      <c r="B19" s="289" t="s">
        <v>3533</v>
      </c>
    </row>
    <row customHeight="1" ht="11.25">
      <c r="A20" s="289" t="s">
        <v>3534</v>
      </c>
      <c r="B20" s="289" t="s">
        <v>3535</v>
      </c>
    </row>
    <row customHeight="1" ht="11.25">
      <c r="A21" s="289" t="s">
        <v>3536</v>
      </c>
      <c r="B21" s="289" t="s">
        <v>3537</v>
      </c>
    </row>
    <row customHeight="1" ht="11.25">
      <c r="A22" s="289" t="s">
        <v>3538</v>
      </c>
      <c r="B22" s="289" t="s">
        <v>3539</v>
      </c>
    </row>
    <row customHeight="1" ht="11.25">
      <c r="A23" s="289" t="s">
        <v>3540</v>
      </c>
      <c r="B23" s="289" t="s">
        <v>3541</v>
      </c>
    </row>
    <row customHeight="1" ht="11.25">
      <c r="A24" s="289" t="s">
        <v>3542</v>
      </c>
      <c r="B24" s="289" t="s">
        <v>3543</v>
      </c>
    </row>
    <row customHeight="1" ht="11.25">
      <c r="A25" s="289" t="s">
        <v>3544</v>
      </c>
      <c r="B25" s="289" t="s">
        <v>3545</v>
      </c>
    </row>
    <row customHeight="1" ht="11.25">
      <c r="A26" s="289" t="s">
        <v>3546</v>
      </c>
      <c r="B26" s="289" t="s">
        <v>3547</v>
      </c>
    </row>
    <row customHeight="1" ht="11.25">
      <c r="A27" s="289" t="s">
        <v>3548</v>
      </c>
      <c r="B27" s="289" t="s">
        <v>3549</v>
      </c>
    </row>
    <row customHeight="1" ht="11.25">
      <c r="A28" s="289" t="s">
        <v>3550</v>
      </c>
      <c r="B28" s="289" t="s">
        <v>3551</v>
      </c>
    </row>
    <row customHeight="1" ht="11.25">
      <c r="A29" s="289" t="s">
        <v>3552</v>
      </c>
      <c r="B29" s="289" t="s">
        <v>3553</v>
      </c>
    </row>
    <row customHeight="1" ht="11.25">
      <c r="A30" s="289" t="s">
        <v>3554</v>
      </c>
      <c r="B30" s="289" t="s">
        <v>3555</v>
      </c>
    </row>
    <row customHeight="1" ht="11.25">
      <c r="A31" s="289" t="s">
        <v>3556</v>
      </c>
      <c r="B31" s="289" t="s">
        <v>3557</v>
      </c>
    </row>
    <row customHeight="1" ht="11.25">
      <c r="A32" s="289" t="s">
        <v>3558</v>
      </c>
      <c r="B32" s="289" t="s">
        <v>3559</v>
      </c>
    </row>
    <row customHeight="1" ht="11.25">
      <c r="A33" s="289" t="s">
        <v>3560</v>
      </c>
      <c r="B33" s="289" t="s">
        <v>3561</v>
      </c>
    </row>
    <row customHeight="1" ht="11.25">
      <c r="A34" s="289" t="s">
        <v>3562</v>
      </c>
      <c r="B34" s="289" t="s">
        <v>3563</v>
      </c>
    </row>
    <row customHeight="1" ht="11.25">
      <c r="A35" s="289" t="s">
        <v>3564</v>
      </c>
      <c r="B35" s="289" t="s">
        <v>3565</v>
      </c>
    </row>
    <row customHeight="1" ht="11.25">
      <c r="A36" s="289" t="s">
        <v>3566</v>
      </c>
      <c r="B36" s="289" t="s">
        <v>3567</v>
      </c>
    </row>
    <row customHeight="1" ht="11.25">
      <c r="A37" s="289" t="s">
        <v>3568</v>
      </c>
      <c r="B37" s="289" t="s">
        <v>3569</v>
      </c>
    </row>
    <row customHeight="1" ht="11.25">
      <c r="A38" s="289" t="s">
        <v>3570</v>
      </c>
      <c r="B38" s="289" t="s">
        <v>3571</v>
      </c>
    </row>
    <row customHeight="1" ht="11.25">
      <c r="A39" s="289" t="s">
        <v>3572</v>
      </c>
      <c r="B39" s="289" t="s">
        <v>3573</v>
      </c>
    </row>
    <row customHeight="1" ht="11.25">
      <c r="A40" s="289" t="s">
        <v>3574</v>
      </c>
      <c r="B40" s="289" t="s">
        <v>3575</v>
      </c>
    </row>
    <row customHeight="1" ht="11.25">
      <c r="A41" s="289" t="s">
        <v>3576</v>
      </c>
      <c r="B41" s="289" t="s">
        <v>3577</v>
      </c>
    </row>
    <row customHeight="1" ht="11.25">
      <c r="A42" s="289" t="s">
        <v>3578</v>
      </c>
      <c r="B42" s="289" t="s">
        <v>3579</v>
      </c>
    </row>
    <row customHeight="1" ht="11.25">
      <c r="A43" s="289" t="s">
        <v>3580</v>
      </c>
      <c r="B43" s="289" t="s">
        <v>3581</v>
      </c>
    </row>
    <row customHeight="1" ht="11.25">
      <c r="A44" s="289" t="s">
        <v>3582</v>
      </c>
      <c r="B44" s="289" t="s">
        <v>3583</v>
      </c>
    </row>
    <row customHeight="1" ht="11.25">
      <c r="A45" s="289" t="s">
        <v>3584</v>
      </c>
      <c r="B45" s="289" t="s">
        <v>3585</v>
      </c>
    </row>
    <row customHeight="1" ht="11.25">
      <c r="A46" s="289" t="s">
        <v>3586</v>
      </c>
      <c r="B46" s="289" t="s">
        <v>3587</v>
      </c>
    </row>
    <row customHeight="1" ht="11.25">
      <c r="A47" s="289" t="s">
        <v>3588</v>
      </c>
      <c r="B47" s="289" t="s">
        <v>3589</v>
      </c>
    </row>
    <row customHeight="1" ht="11.25">
      <c r="A48" s="289" t="s">
        <v>3590</v>
      </c>
      <c r="B48" s="289" t="s">
        <v>3591</v>
      </c>
    </row>
    <row customHeight="1" ht="11.25">
      <c r="A49" s="289" t="s">
        <v>3592</v>
      </c>
      <c r="B49" s="289" t="s">
        <v>3593</v>
      </c>
    </row>
    <row customHeight="1" ht="11.25">
      <c r="A50" s="289" t="s">
        <v>3594</v>
      </c>
      <c r="B50" s="289" t="s">
        <v>3595</v>
      </c>
    </row>
    <row customHeight="1" ht="11.25">
      <c r="A51" s="289" t="s">
        <v>3596</v>
      </c>
      <c r="B51" s="289" t="s">
        <v>3597</v>
      </c>
    </row>
    <row customHeight="1" ht="11.25">
      <c r="A52" s="289" t="s">
        <v>3598</v>
      </c>
      <c r="B52" s="289" t="s">
        <v>3599</v>
      </c>
    </row>
    <row customHeight="1" ht="11.25">
      <c r="A53" s="289" t="s">
        <v>3600</v>
      </c>
      <c r="B53" s="289" t="s">
        <v>3601</v>
      </c>
    </row>
    <row customHeight="1" ht="11.25">
      <c r="A54" s="289" t="s">
        <v>3602</v>
      </c>
      <c r="B54" s="289" t="s">
        <v>3603</v>
      </c>
    </row>
    <row customHeight="1" ht="11.25">
      <c r="A55" s="289" t="s">
        <v>3604</v>
      </c>
      <c r="B55" s="289" t="s">
        <v>3605</v>
      </c>
    </row>
    <row customHeight="1" ht="11.25">
      <c r="A56" s="289" t="s">
        <v>3606</v>
      </c>
      <c r="B56" s="289" t="s">
        <v>3607</v>
      </c>
    </row>
    <row customHeight="1" ht="11.25">
      <c r="A57" s="289" t="s">
        <v>3608</v>
      </c>
      <c r="B57" s="289" t="s">
        <v>3609</v>
      </c>
    </row>
    <row customHeight="1" ht="11.25">
      <c r="A58" s="289" t="s">
        <v>3610</v>
      </c>
      <c r="B58" s="289" t="s">
        <v>3611</v>
      </c>
    </row>
    <row customHeight="1" ht="11.25">
      <c r="A59" s="289" t="s">
        <v>3612</v>
      </c>
      <c r="B59" s="289" t="s">
        <v>3613</v>
      </c>
    </row>
    <row customHeight="1" ht="11.25">
      <c r="A60" s="289" t="s">
        <v>3614</v>
      </c>
      <c r="B60" s="289" t="s">
        <v>3615</v>
      </c>
    </row>
    <row customHeight="1" ht="11.25">
      <c r="A61" s="289"/>
      <c r="B61" s="289" t="s">
        <v>3616</v>
      </c>
    </row>
    <row customHeight="1" ht="11.25">
      <c r="A62" s="289"/>
      <c r="B62" s="289" t="s">
        <v>3617</v>
      </c>
    </row>
    <row customHeight="1" ht="11.25">
      <c r="A63" s="289"/>
      <c r="B63" s="289" t="s">
        <v>3618</v>
      </c>
    </row>
    <row customHeight="1" ht="11.25">
      <c r="A64" s="289"/>
      <c r="B64" s="289" t="s">
        <v>3619</v>
      </c>
    </row>
    <row customHeight="1" ht="11.25">
      <c r="A65" s="289"/>
      <c r="B65" s="289" t="s">
        <v>3620</v>
      </c>
    </row>
    <row customHeight="1" ht="11.25">
      <c r="A66" s="289"/>
      <c r="B66" s="289" t="s">
        <v>3621</v>
      </c>
    </row>
    <row customHeight="1" ht="11.25">
      <c r="A67" s="289"/>
      <c r="B67" s="289" t="s">
        <v>3622</v>
      </c>
    </row>
    <row customHeight="1" ht="11.25">
      <c r="A68" s="289"/>
      <c r="B68" s="289" t="s">
        <v>3623</v>
      </c>
    </row>
    <row customHeight="1" ht="11.25">
      <c r="A69" s="289"/>
      <c r="B69" s="289" t="s">
        <v>3624</v>
      </c>
    </row>
    <row customHeight="1" ht="11.25">
      <c r="A70" s="289"/>
      <c r="B70" s="289" t="s">
        <v>3625</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F6424-D315-DE72-4BB7-80D1D767964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282" width="3.7109375" customWidth="1"/>
    <col min="2" max="2" style="13282" width="90.7109375" customWidth="1"/>
    <col min="3" max="4" style="13282" width="9.140625"/>
  </cols>
  <sheetData>
    <row customHeight="1" ht="11.25">
      <c r="B1" s="320" t="s">
        <v>3626</v>
      </c>
    </row>
    <row customHeight="1" ht="90">
      <c r="B2" s="321" t="s">
        <v>3627</v>
      </c>
    </row>
    <row customHeight="1" ht="67.5">
      <c r="B3" s="321" t="s">
        <v>3628</v>
      </c>
    </row>
    <row customHeight="1" ht="33.75">
      <c r="B4" s="321" t="s">
        <v>3629</v>
      </c>
    </row>
    <row customHeight="1" ht="11.25">
      <c r="B5" s="321" t="s">
        <v>3630</v>
      </c>
    </row>
    <row customHeight="1" ht="22.5">
      <c r="B6" s="321" t="s">
        <v>3631</v>
      </c>
    </row>
    <row customHeight="1" ht="22.5">
      <c r="B7" s="321" t="s">
        <v>3632</v>
      </c>
    </row>
    <row customHeight="1" ht="22.5">
      <c r="B8" s="321" t="s">
        <v>3633</v>
      </c>
    </row>
    <row customHeight="1" ht="22.5">
      <c r="B9" s="321" t="s">
        <v>3634</v>
      </c>
    </row>
    <row customHeight="1" ht="56.25">
      <c r="B10" s="321" t="s">
        <v>3635</v>
      </c>
    </row>
    <row customHeight="1" ht="12.75">
      <c r="B11" s="386" t="s">
        <v>3636</v>
      </c>
    </row>
    <row customHeight="1" ht="11.25">
      <c r="B12" s="320" t="s">
        <v>3637</v>
      </c>
    </row>
    <row customHeight="1" ht="22.5">
      <c r="B13" s="321" t="s">
        <v>3638</v>
      </c>
    </row>
    <row customHeight="1" ht="67.5">
      <c r="B14" s="321" t="s">
        <v>3639</v>
      </c>
    </row>
    <row customHeight="1" ht="22.5">
      <c r="B15" s="321" t="s">
        <v>3640</v>
      </c>
    </row>
    <row customHeight="1" ht="11.25">
      <c r="B16" s="320" t="s">
        <v>3641</v>
      </c>
      <c r="D16" s="327"/>
    </row>
    <row customHeight="1" ht="33.75">
      <c r="B17" s="321" t="s">
        <v>3642</v>
      </c>
    </row>
    <row customHeight="1" ht="33.75">
      <c r="B18" s="321" t="s">
        <v>3643</v>
      </c>
    </row>
    <row customHeight="1" ht="11.25">
      <c r="B19" s="321" t="s">
        <v>3644</v>
      </c>
    </row>
    <row customHeight="1" ht="33.75">
      <c r="B20" s="321" t="s">
        <v>3645</v>
      </c>
    </row>
    <row customHeight="1" ht="11.25">
      <c r="B21" s="320" t="s">
        <v>3646</v>
      </c>
    </row>
    <row customHeight="1" ht="11.25">
      <c r="B22" s="321" t="s">
        <v>3647</v>
      </c>
    </row>
    <row r="24" customHeight="1" ht="22.5">
      <c r="B24" s="388" t="s">
        <v>3648</v>
      </c>
    </row>
    <row r="26" customHeight="1" ht="11.25">
      <c r="B26" s="320" t="s">
        <v>3649</v>
      </c>
    </row>
    <row customHeight="1" ht="22.5">
      <c r="B27" s="387" t="s">
        <v>401</v>
      </c>
    </row>
    <row customHeight="1" ht="56.25">
      <c r="B28" s="387" t="s">
        <v>3650</v>
      </c>
    </row>
    <row customHeight="1" ht="11.25">
      <c r="B29" s="437" t="s">
        <v>3651</v>
      </c>
    </row>
    <row customHeight="1" ht="22.5">
      <c r="B30" s="387" t="s">
        <v>3652</v>
      </c>
    </row>
    <row r="32" customHeight="1" ht="11.25">
      <c r="A32" s="415"/>
      <c r="B32" s="416" t="s">
        <v>3653</v>
      </c>
    </row>
    <row customHeight="1" ht="14.25">
      <c r="A33" s="417">
        <v>1</v>
      </c>
      <c r="B33" s="418" t="s">
        <v>3654</v>
      </c>
    </row>
    <row customHeight="1" ht="14.25">
      <c r="A34" s="417">
        <v>2</v>
      </c>
      <c r="B34" s="418" t="s">
        <v>3655</v>
      </c>
    </row>
    <row customHeight="1" ht="11.25">
      <c r="B35" s="416" t="s">
        <v>3656</v>
      </c>
    </row>
    <row customHeight="1" ht="11.25">
      <c r="B36" s="418" t="s">
        <v>3657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